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34320" windowHeight="21060" tabRatio="763" activeTab="0"/>
  </bookViews>
  <sheets>
    <sheet name="C0008A" sheetId="1" r:id="rId1"/>
    <sheet name="C0008C" sheetId="2" r:id="rId2"/>
  </sheets>
  <definedNames>
    <definedName name="_xlnm.Print_Area" localSheetId="0">'C0008A'!$A$1:$AK$266</definedName>
  </definedNames>
  <calcPr fullCalcOnLoad="1"/>
</workbook>
</file>

<file path=xl/comments1.xml><?xml version="1.0" encoding="utf-8"?>
<comments xmlns="http://schemas.openxmlformats.org/spreadsheetml/2006/main">
  <authors>
    <author>Tim Byrne</author>
  </authors>
  <commentList>
    <comment ref="A1" authorId="0">
      <text>
        <r>
          <rPr>
            <b/>
            <sz val="9"/>
            <rFont val="Verdana"/>
            <family val="2"/>
          </rPr>
          <t>Tim Byrne: Tim's main file- yellow shows changes since Chikyu</t>
        </r>
        <r>
          <rPr>
            <sz val="9"/>
            <rFont val="Verdan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Tim Byrne</author>
  </authors>
  <commentList>
    <comment ref="A1" authorId="0">
      <text>
        <r>
          <rPr>
            <b/>
            <sz val="9"/>
            <rFont val="Verdana"/>
            <family val="2"/>
          </rPr>
          <t>Tim Byrne: Tim's main file- yellow shows changes since Chikyu</t>
        </r>
        <r>
          <rPr>
            <sz val="9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<sst xmlns="http://schemas.openxmlformats.org/spreadsheetml/2006/main" count="1542" uniqueCount="115">
  <si>
    <t xml:space="preserve"> plane orientation (RHR)</t>
  </si>
  <si>
    <t>fault</t>
  </si>
  <si>
    <t>depth</t>
  </si>
  <si>
    <t>dip dir</t>
  </si>
  <si>
    <t>dip</t>
  </si>
  <si>
    <t>corrected orientation (RHR)</t>
  </si>
  <si>
    <t>fault</t>
  </si>
  <si>
    <t>az</t>
  </si>
  <si>
    <t>rake</t>
  </si>
  <si>
    <t>slip sense</t>
  </si>
  <si>
    <t>str rake</t>
  </si>
  <si>
    <t>n</t>
  </si>
  <si>
    <t>P-mag pole</t>
  </si>
  <si>
    <t>Dec</t>
  </si>
  <si>
    <t>Inc</t>
  </si>
  <si>
    <t>average depth</t>
  </si>
  <si>
    <t>top of struct</t>
  </si>
  <si>
    <t>Red means uncertain data</t>
  </si>
  <si>
    <t>coherent interval (for P-mag)</t>
  </si>
  <si>
    <t>sect</t>
  </si>
  <si>
    <t xml:space="preserve">bottom of struct </t>
  </si>
  <si>
    <t>2nd app. dip</t>
  </si>
  <si>
    <t>bottom</t>
  </si>
  <si>
    <t>hole</t>
  </si>
  <si>
    <t>core</t>
  </si>
  <si>
    <t>notes</t>
  </si>
  <si>
    <t>±1, 90 or 270</t>
  </si>
  <si>
    <t>top-&gt;"1"</t>
  </si>
  <si>
    <t>bottom-&gt;"-1"</t>
  </si>
  <si>
    <t>from</t>
  </si>
  <si>
    <t>l</t>
  </si>
  <si>
    <t>m</t>
  </si>
  <si>
    <t>strike</t>
  </si>
  <si>
    <t>csf rake</t>
  </si>
  <si>
    <t>str rake</t>
  </si>
  <si>
    <t>striation on surface</t>
  </si>
  <si>
    <t xml:space="preserve"> plane-normal orientation</t>
  </si>
  <si>
    <t>structure ID</t>
  </si>
  <si>
    <t>core face app. dip</t>
  </si>
  <si>
    <t>az</t>
  </si>
  <si>
    <t>top</t>
  </si>
  <si>
    <t>strike</t>
  </si>
  <si>
    <t>≤90</t>
  </si>
  <si>
    <t>thickness (cm)</t>
  </si>
  <si>
    <t>A</t>
  </si>
  <si>
    <t>2H</t>
  </si>
  <si>
    <t>bedding</t>
  </si>
  <si>
    <t>fault</t>
  </si>
  <si>
    <t>N</t>
  </si>
  <si>
    <t>healed. Offset=0.6cm</t>
  </si>
  <si>
    <t>healed</t>
  </si>
  <si>
    <t>3H</t>
  </si>
  <si>
    <t>CC</t>
  </si>
  <si>
    <t>4H</t>
  </si>
  <si>
    <t>offset=3mm</t>
  </si>
  <si>
    <t>5H</t>
  </si>
  <si>
    <t>1H</t>
  </si>
  <si>
    <t>6H</t>
  </si>
  <si>
    <t>7H</t>
  </si>
  <si>
    <t>8H</t>
  </si>
  <si>
    <t>healed. Offset=1cm</t>
  </si>
  <si>
    <t>9H</t>
  </si>
  <si>
    <t>10H</t>
  </si>
  <si>
    <t>11H</t>
  </si>
  <si>
    <t>12H</t>
  </si>
  <si>
    <t>R</t>
  </si>
  <si>
    <t>offset = 6.5cm</t>
  </si>
  <si>
    <t>offset = 8mm</t>
  </si>
  <si>
    <t>13H</t>
  </si>
  <si>
    <t>16H</t>
  </si>
  <si>
    <t>offset 4.5 cm</t>
  </si>
  <si>
    <t>17H</t>
  </si>
  <si>
    <t>18H</t>
  </si>
  <si>
    <t>fissility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</si>
  <si>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</si>
  <si>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</si>
  <si>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</si>
  <si>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</si>
  <si>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</si>
  <si>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</si>
  <si>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</si>
  <si>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</si>
  <si>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</si>
  <si>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</si>
  <si>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29X</t>
  </si>
  <si>
    <t>splitting-related?</t>
  </si>
  <si>
    <t>shear zone</t>
  </si>
  <si>
    <t>based on CT image 158 63 NE</t>
  </si>
  <si>
    <t>based on CT image</t>
  </si>
  <si>
    <t>30X</t>
  </si>
  <si>
    <t>31X</t>
  </si>
  <si>
    <t>layer parallel</t>
  </si>
  <si>
    <t>32X</t>
  </si>
  <si>
    <t>33X</t>
  </si>
  <si>
    <t>34X</t>
  </si>
  <si>
    <t>36X</t>
  </si>
  <si>
    <t>C</t>
  </si>
  <si>
    <t>C0008C</t>
  </si>
  <si>
    <t>C0008A</t>
  </si>
  <si>
    <t>from CT</t>
  </si>
  <si>
    <t>offset = 6mm</t>
  </si>
  <si>
    <t>offset = 5mm</t>
  </si>
  <si>
    <t>fracture</t>
  </si>
  <si>
    <t>from CT offset = 1-2cm</t>
  </si>
  <si>
    <t>CT suggsts normal sense of shear</t>
  </si>
  <si>
    <t>offset 9 mm</t>
  </si>
  <si>
    <t>offset = 3.7cm</t>
  </si>
  <si>
    <t>offset 1.2 cm</t>
  </si>
  <si>
    <t>offset 4.1 cm</t>
  </si>
  <si>
    <t>offset &gt; 10 cm</t>
  </si>
  <si>
    <t>strike slip</t>
  </si>
  <si>
    <t>offset = 3cm</t>
  </si>
  <si>
    <t>23X</t>
  </si>
  <si>
    <t>24X</t>
  </si>
  <si>
    <t>25X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</si>
</sst>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&quot; €&quot;;\-#,##0&quot; €&quot;"/>
    <numFmt numFmtId="193" formatCode="#,##0&quot; €&quot;;[Red]\-#,##0&quot; €&quot;"/>
    <numFmt numFmtId="194" formatCode="#,##0.00&quot; €&quot;;\-#,##0.00&quot; €&quot;"/>
    <numFmt numFmtId="195" formatCode="#,##0.00&quot; €&quot;;[Red]\-#,##0.00&quot; €&quot;"/>
    <numFmt numFmtId="196" formatCode="_-* #,##0&quot; €&quot;_-;\-* #,##0&quot; €&quot;_-;_-* &quot;-&quot;&quot; €&quot;_-;_-@_-"/>
    <numFmt numFmtId="197" formatCode="_-* #,##0_ _€_-;\-* #,##0_ _€_-;_-* &quot;-&quot;_ _€_-;_-@_-"/>
    <numFmt numFmtId="198" formatCode="_-* #,##0.00&quot; €&quot;_-;\-* #,##0.00&quot; €&quot;_-;_-* &quot;-&quot;??&quot; €&quot;_-;_-@_-"/>
    <numFmt numFmtId="199" formatCode="_-* #,##0.00_ _€_-;\-* #,##0.00_ _€_-;_-* &quot;-&quot;??_ _€_-;_-@_-"/>
    <numFmt numFmtId="200" formatCode="0.0"/>
    <numFmt numFmtId="201" formatCode="0.0_ "/>
    <numFmt numFmtId="202" formatCode="00000"/>
    <numFmt numFmtId="203" formatCode="d/mm/yyyy"/>
    <numFmt numFmtId="204" formatCode="0.000_);[Red]\(0.000\)"/>
    <numFmt numFmtId="205" formatCode="0.000_ "/>
    <numFmt numFmtId="206" formatCode="0.00_ "/>
    <numFmt numFmtId="207" formatCode="0.00_);[Red]\(0.00\)"/>
    <numFmt numFmtId="208" formatCode="0_ "/>
    <numFmt numFmtId="209" formatCode="0_);[Red]\(0\)"/>
    <numFmt numFmtId="210" formatCode="0.000000"/>
    <numFmt numFmtId="211" formatCode="0.00000"/>
    <numFmt numFmtId="212" formatCode="0.0000"/>
    <numFmt numFmtId="213" formatCode="0.0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6"/>
      <name val="ＭＳ Ｐゴシック"/>
      <family val="3"/>
    </font>
    <font>
      <sz val="10"/>
      <color indexed="10"/>
      <name val="Verdana"/>
      <family val="2"/>
    </font>
    <font>
      <sz val="10"/>
      <color indexed="10"/>
      <name val="Arial"/>
      <family val="0"/>
    </font>
    <font>
      <sz val="10"/>
      <color indexed="17"/>
      <name val="Verdana"/>
      <family val="0"/>
    </font>
    <font>
      <sz val="9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200" fontId="0" fillId="0" borderId="0" xfId="0" applyNumberFormat="1" applyBorder="1" applyAlignment="1">
      <alignment/>
    </xf>
    <xf numFmtId="200" fontId="0" fillId="0" borderId="0" xfId="0" applyNumberFormat="1" applyAlignment="1">
      <alignment/>
    </xf>
    <xf numFmtId="201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0" xfId="0" applyFill="1" applyAlignment="1">
      <alignment/>
    </xf>
    <xf numFmtId="206" fontId="0" fillId="2" borderId="0" xfId="0" applyNumberFormat="1" applyFill="1" applyBorder="1" applyAlignment="1">
      <alignment/>
    </xf>
    <xf numFmtId="207" fontId="0" fillId="0" borderId="0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Fill="1" applyBorder="1" applyAlignment="1">
      <alignment/>
    </xf>
    <xf numFmtId="209" fontId="0" fillId="2" borderId="0" xfId="0" applyNumberFormat="1" applyFill="1" applyBorder="1" applyAlignment="1">
      <alignment/>
    </xf>
    <xf numFmtId="208" fontId="0" fillId="2" borderId="10" xfId="0" applyNumberFormat="1" applyFont="1" applyFill="1" applyBorder="1" applyAlignment="1">
      <alignment horizontal="right"/>
    </xf>
    <xf numFmtId="209" fontId="0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200" fontId="12" fillId="0" borderId="0" xfId="0" applyNumberFormat="1" applyFont="1" applyBorder="1" applyAlignment="1">
      <alignment/>
    </xf>
    <xf numFmtId="20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07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206" fontId="12" fillId="2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1" fontId="12" fillId="2" borderId="1" xfId="0" applyNumberFormat="1" applyFont="1" applyFill="1" applyBorder="1" applyAlignment="1">
      <alignment/>
    </xf>
    <xf numFmtId="1" fontId="12" fillId="2" borderId="8" xfId="0" applyNumberFormat="1" applyFont="1" applyFill="1" applyBorder="1" applyAlignment="1">
      <alignment/>
    </xf>
    <xf numFmtId="209" fontId="12" fillId="2" borderId="0" xfId="0" applyNumberFormat="1" applyFont="1" applyFill="1" applyBorder="1" applyAlignment="1">
      <alignment/>
    </xf>
    <xf numFmtId="209" fontId="12" fillId="2" borderId="0" xfId="0" applyNumberFormat="1" applyFont="1" applyFill="1" applyBorder="1" applyAlignment="1">
      <alignment/>
    </xf>
    <xf numFmtId="1" fontId="12" fillId="2" borderId="8" xfId="0" applyNumberFormat="1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8" xfId="0" applyFont="1" applyBorder="1" applyAlignment="1">
      <alignment/>
    </xf>
    <xf numFmtId="208" fontId="12" fillId="2" borderId="10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1" fontId="0" fillId="2" borderId="8" xfId="0" applyNumberFormat="1" applyFill="1" applyBorder="1" applyAlignment="1">
      <alignment horizontal="center"/>
    </xf>
    <xf numFmtId="208" fontId="0" fillId="2" borderId="10" xfId="0" applyNumberFormat="1" applyFill="1" applyBorder="1" applyAlignment="1">
      <alignment horizontal="right"/>
    </xf>
    <xf numFmtId="0" fontId="12" fillId="0" borderId="2" xfId="0" applyFont="1" applyBorder="1" applyAlignment="1">
      <alignment/>
    </xf>
    <xf numFmtId="0" fontId="12" fillId="0" borderId="11" xfId="0" applyFont="1" applyBorder="1" applyAlignment="1">
      <alignment/>
    </xf>
    <xf numFmtId="200" fontId="12" fillId="0" borderId="2" xfId="0" applyNumberFormat="1" applyFont="1" applyBorder="1" applyAlignment="1">
      <alignment/>
    </xf>
    <xf numFmtId="201" fontId="12" fillId="0" borderId="2" xfId="0" applyNumberFormat="1" applyFont="1" applyBorder="1" applyAlignment="1">
      <alignment/>
    </xf>
    <xf numFmtId="207" fontId="12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206" fontId="12" fillId="2" borderId="2" xfId="0" applyNumberFormat="1" applyFont="1" applyFill="1" applyBorder="1" applyAlignment="1">
      <alignment/>
    </xf>
    <xf numFmtId="1" fontId="12" fillId="2" borderId="2" xfId="0" applyNumberFormat="1" applyFont="1" applyFill="1" applyBorder="1" applyAlignment="1">
      <alignment/>
    </xf>
    <xf numFmtId="1" fontId="12" fillId="2" borderId="11" xfId="0" applyNumberFormat="1" applyFont="1" applyFill="1" applyBorder="1" applyAlignment="1">
      <alignment/>
    </xf>
    <xf numFmtId="1" fontId="12" fillId="2" borderId="12" xfId="0" applyNumberFormat="1" applyFont="1" applyFill="1" applyBorder="1" applyAlignment="1">
      <alignment/>
    </xf>
    <xf numFmtId="209" fontId="12" fillId="2" borderId="2" xfId="0" applyNumberFormat="1" applyFont="1" applyFill="1" applyBorder="1" applyAlignment="1">
      <alignment/>
    </xf>
    <xf numFmtId="209" fontId="12" fillId="2" borderId="2" xfId="0" applyNumberFormat="1" applyFont="1" applyFill="1" applyBorder="1" applyAlignment="1">
      <alignment/>
    </xf>
    <xf numFmtId="1" fontId="12" fillId="2" borderId="12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208" fontId="12" fillId="2" borderId="13" xfId="0" applyNumberFormat="1" applyFont="1" applyFill="1" applyBorder="1" applyAlignment="1">
      <alignment horizontal="right"/>
    </xf>
    <xf numFmtId="207" fontId="0" fillId="0" borderId="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" xfId="0" applyNumberFormat="1" applyBorder="1" applyAlignment="1">
      <alignment/>
    </xf>
    <xf numFmtId="2" fontId="12" fillId="0" borderId="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/>
    </xf>
    <xf numFmtId="0" fontId="0" fillId="0" borderId="20" xfId="0" applyBorder="1" applyAlignment="1">
      <alignment textRotation="90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/>
    </xf>
    <xf numFmtId="200" fontId="0" fillId="0" borderId="26" xfId="0" applyNumberFormat="1" applyBorder="1" applyAlignment="1">
      <alignment horizontal="center" vertical="center" wrapText="1"/>
    </xf>
    <xf numFmtId="200" fontId="0" fillId="0" borderId="3" xfId="0" applyNumberFormat="1" applyBorder="1" applyAlignment="1">
      <alignment vertical="center"/>
    </xf>
    <xf numFmtId="201" fontId="0" fillId="0" borderId="26" xfId="0" applyNumberFormat="1" applyBorder="1" applyAlignment="1">
      <alignment horizontal="center" vertical="center" wrapText="1"/>
    </xf>
    <xf numFmtId="201" fontId="0" fillId="0" borderId="3" xfId="0" applyNumberForma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07" fontId="0" fillId="0" borderId="16" xfId="0" applyNumberFormat="1" applyBorder="1" applyAlignment="1">
      <alignment horizontal="center" vertical="center" wrapText="1"/>
    </xf>
    <xf numFmtId="207" fontId="0" fillId="0" borderId="6" xfId="0" applyNumberFormat="1" applyBorder="1" applyAlignment="1">
      <alignment vertical="center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7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T3" sqref="T3"/>
    </sheetView>
  </sheetViews>
  <sheetFormatPr defaultColWidth="10.75390625" defaultRowHeight="12.75"/>
  <cols>
    <col min="1" max="1" width="6.75390625" style="0" customWidth="1"/>
    <col min="2" max="2" width="2.25390625" style="0" customWidth="1"/>
    <col min="3" max="3" width="3.625" style="0" customWidth="1"/>
    <col min="4" max="4" width="2.75390625" style="0" customWidth="1"/>
    <col min="5" max="5" width="17.375" style="0" customWidth="1"/>
    <col min="6" max="6" width="5.625" style="12" customWidth="1"/>
    <col min="7" max="7" width="7.75390625" style="14" customWidth="1"/>
    <col min="8" max="8" width="7.875" style="0" customWidth="1"/>
    <col min="9" max="9" width="8.75390625" style="31" customWidth="1"/>
    <col min="10" max="10" width="6.375" style="0" customWidth="1"/>
    <col min="11" max="11" width="5.00390625" style="0" customWidth="1"/>
    <col min="12" max="12" width="5.625" style="0" customWidth="1"/>
    <col min="13" max="14" width="6.00390625" style="0" customWidth="1"/>
    <col min="15" max="15" width="6.00390625" style="33" customWidth="1"/>
    <col min="16" max="16" width="6.00390625" style="1" customWidth="1"/>
    <col min="17" max="18" width="6.00390625" style="0" customWidth="1"/>
    <col min="19" max="19" width="6.25390625" style="0" customWidth="1"/>
    <col min="20" max="20" width="6.625" style="0" customWidth="1"/>
    <col min="21" max="22" width="5.75390625" style="0" customWidth="1"/>
    <col min="23" max="23" width="3.75390625" style="0" customWidth="1"/>
    <col min="24" max="24" width="7.625" style="0" customWidth="1"/>
    <col min="25" max="25" width="7.375" style="0" customWidth="1"/>
    <col min="26" max="26" width="8.875" style="0" customWidth="1"/>
    <col min="27" max="27" width="7.25390625" style="0" customWidth="1"/>
    <col min="28" max="29" width="7.875" style="0" customWidth="1"/>
    <col min="30" max="30" width="6.375" style="0" customWidth="1"/>
    <col min="31" max="32" width="8.00390625" style="0" customWidth="1"/>
    <col min="33" max="33" width="6.125" style="0" customWidth="1"/>
    <col min="34" max="34" width="7.625" style="0" customWidth="1"/>
    <col min="35" max="35" width="8.875" style="0" customWidth="1"/>
  </cols>
  <sheetData>
    <row r="1" spans="1:35" ht="27" customHeight="1">
      <c r="A1" s="78" t="s">
        <v>98</v>
      </c>
      <c r="B1" s="85" t="s">
        <v>23</v>
      </c>
      <c r="C1" s="85" t="s">
        <v>24</v>
      </c>
      <c r="D1" s="87" t="s">
        <v>19</v>
      </c>
      <c r="E1" s="94" t="s">
        <v>37</v>
      </c>
      <c r="F1" s="102" t="s">
        <v>16</v>
      </c>
      <c r="G1" s="104" t="s">
        <v>20</v>
      </c>
      <c r="H1" s="106" t="s">
        <v>15</v>
      </c>
      <c r="I1" s="111" t="s">
        <v>43</v>
      </c>
      <c r="J1" s="113" t="s">
        <v>38</v>
      </c>
      <c r="K1" s="114"/>
      <c r="L1" s="83" t="s">
        <v>21</v>
      </c>
      <c r="M1" s="91"/>
      <c r="N1" s="83" t="s">
        <v>35</v>
      </c>
      <c r="O1" s="101"/>
      <c r="P1" s="92" t="s">
        <v>36</v>
      </c>
      <c r="Q1" s="93"/>
      <c r="R1" s="93"/>
      <c r="S1" s="93"/>
      <c r="T1" s="93"/>
      <c r="U1" s="108" t="s">
        <v>0</v>
      </c>
      <c r="V1" s="109"/>
      <c r="W1" s="110"/>
      <c r="X1" s="96" t="s">
        <v>1</v>
      </c>
      <c r="Y1" s="92"/>
      <c r="Z1" s="84"/>
      <c r="AA1" s="89" t="s">
        <v>18</v>
      </c>
      <c r="AB1" s="90"/>
      <c r="AC1" s="100" t="s">
        <v>12</v>
      </c>
      <c r="AD1" s="101"/>
      <c r="AE1" s="97" t="s">
        <v>5</v>
      </c>
      <c r="AF1" s="98"/>
      <c r="AG1" s="99"/>
      <c r="AH1" s="83" t="s">
        <v>6</v>
      </c>
      <c r="AI1" s="84"/>
    </row>
    <row r="2" spans="1:36" ht="18" customHeight="1">
      <c r="A2" s="79" t="s">
        <v>2</v>
      </c>
      <c r="B2" s="86"/>
      <c r="C2" s="86"/>
      <c r="D2" s="88"/>
      <c r="E2" s="95"/>
      <c r="F2" s="103"/>
      <c r="G2" s="105"/>
      <c r="H2" s="107"/>
      <c r="I2" s="112"/>
      <c r="J2" s="5" t="s">
        <v>7</v>
      </c>
      <c r="K2" s="4" t="s">
        <v>4</v>
      </c>
      <c r="L2" s="4" t="s">
        <v>7</v>
      </c>
      <c r="M2" s="4" t="s">
        <v>4</v>
      </c>
      <c r="N2" s="7" t="s">
        <v>8</v>
      </c>
      <c r="O2" s="6" t="s">
        <v>29</v>
      </c>
      <c r="P2" s="8" t="s">
        <v>30</v>
      </c>
      <c r="Q2" s="8" t="s">
        <v>31</v>
      </c>
      <c r="R2" s="4" t="s">
        <v>11</v>
      </c>
      <c r="S2" s="8" t="s">
        <v>39</v>
      </c>
      <c r="T2" s="7" t="s">
        <v>4</v>
      </c>
      <c r="U2" s="5" t="s">
        <v>3</v>
      </c>
      <c r="V2" s="32" t="s">
        <v>32</v>
      </c>
      <c r="W2" s="6" t="s">
        <v>4</v>
      </c>
      <c r="X2" s="7" t="s">
        <v>33</v>
      </c>
      <c r="Y2" s="16" t="s">
        <v>34</v>
      </c>
      <c r="Z2" s="17" t="s">
        <v>9</v>
      </c>
      <c r="AA2" s="5" t="s">
        <v>40</v>
      </c>
      <c r="AB2" s="7" t="s">
        <v>22</v>
      </c>
      <c r="AC2" s="5" t="s">
        <v>13</v>
      </c>
      <c r="AD2" s="6" t="s">
        <v>14</v>
      </c>
      <c r="AE2" s="5" t="s">
        <v>3</v>
      </c>
      <c r="AF2" s="4" t="s">
        <v>41</v>
      </c>
      <c r="AG2" s="4" t="s">
        <v>4</v>
      </c>
      <c r="AH2" s="16" t="s">
        <v>10</v>
      </c>
      <c r="AI2" s="17" t="s">
        <v>9</v>
      </c>
      <c r="AJ2" t="s">
        <v>25</v>
      </c>
    </row>
    <row r="3" spans="1:35" ht="12.75">
      <c r="A3" s="80">
        <v>5.1</v>
      </c>
      <c r="B3" s="1" t="s">
        <v>44</v>
      </c>
      <c r="C3" s="1" t="s">
        <v>56</v>
      </c>
      <c r="D3" s="1">
        <v>6</v>
      </c>
      <c r="E3" s="2" t="s">
        <v>46</v>
      </c>
      <c r="F3" s="11">
        <v>86</v>
      </c>
      <c r="G3" s="13">
        <v>86</v>
      </c>
      <c r="H3" s="43"/>
      <c r="I3" s="44"/>
      <c r="J3" s="2">
        <v>270</v>
      </c>
      <c r="K3" s="9">
        <v>1</v>
      </c>
      <c r="L3" s="9">
        <v>0</v>
      </c>
      <c r="M3" s="9">
        <v>10</v>
      </c>
      <c r="N3" s="9"/>
      <c r="O3" s="34"/>
      <c r="P3" s="29">
        <f aca="true" t="shared" si="0" ref="P3:P41">COS(K3*PI()/180)*SIN(J3*PI()/180)*(SIN(M3*PI()/180))-(COS(M3*PI()/180)*SIN(L3*PI()/180))*(SIN(K3*PI()/180))</f>
        <v>-0.17362173020838784</v>
      </c>
      <c r="Q3" s="29">
        <f aca="true" t="shared" si="1" ref="Q3:Q41">(SIN(K3*PI()/180))*(COS(M3*PI()/180)*COS(L3*PI()/180))-(SIN(M3*PI()/180))*(COS(K3*PI()/180)*COS(J3*PI()/180))</f>
        <v>0.017187265168157002</v>
      </c>
      <c r="R3" s="29">
        <f aca="true" t="shared" si="2" ref="R3:R41">(COS(K3*PI()/180)*COS(J3*PI()/180))*(COS(M3*PI()/180)*SIN(L3*PI()/180))-(COS(K3*PI()/180)*SIN(J3*PI()/180))*(COS(M3*PI()/180)*COS(L3*PI()/180))</f>
        <v>0.9846577620214009</v>
      </c>
      <c r="S3" s="10">
        <f aca="true" t="shared" si="3" ref="S3:S41">IF(P3=0,IF(Q3&gt;=0,90,270),IF(P3&gt;0,IF(Q3&gt;=0,ATAN(Q3/P3)*180/PI(),ATAN(Q3/P3)*180/PI()+360),ATAN(Q3/P3)*180/PI()+180))</f>
        <v>174.34656126157915</v>
      </c>
      <c r="T3" s="10">
        <f>ASIN(R3/SQRT(P3^2+Q3^2+R3^2))*180/PI()</f>
        <v>79.95211543642635</v>
      </c>
      <c r="U3" s="18">
        <f aca="true" t="shared" si="4" ref="U3:U41">IF(R3&lt;0,S3,IF(S3+180&gt;=360,S3-180,S3+180))</f>
        <v>354.34656126157915</v>
      </c>
      <c r="V3" s="10">
        <f aca="true" t="shared" si="5" ref="V3:V29">IF(U3-90&lt;0,U3+270,U3-90)</f>
        <v>264.34656126157915</v>
      </c>
      <c r="W3" s="19">
        <f aca="true" t="shared" si="6" ref="W3:W41">IF(R3&lt;0,90+T3,90-T3)</f>
        <v>10.047884563573646</v>
      </c>
      <c r="X3" s="35"/>
      <c r="Y3" s="37"/>
      <c r="Z3" s="22"/>
      <c r="AA3" s="2"/>
      <c r="AB3" s="1"/>
      <c r="AC3" s="26">
        <v>338.7</v>
      </c>
      <c r="AD3" s="27">
        <v>56</v>
      </c>
      <c r="AE3" s="18">
        <f aca="true" t="shared" si="7" ref="AE3:AE30">IF(AD3&gt;=0,IF(U3&gt;=AC3,U3-AC3,U3-AC3+360),IF((U3-AC3-180)&lt;0,IF(U3-AC3+180&lt;0,U3-AC3+540,U3-AC3+180),U3-AC3-180))</f>
        <v>15.646561261579166</v>
      </c>
      <c r="AF3" s="10">
        <f aca="true" t="shared" si="8" ref="AF3:AF30">IF(AE3-90&lt;0,AE3+270,AE3-90)</f>
        <v>285.64656126157917</v>
      </c>
      <c r="AG3" s="10">
        <f aca="true" t="shared" si="9" ref="AG3:AG30">W3</f>
        <v>10.047884563573646</v>
      </c>
      <c r="AH3" s="36"/>
      <c r="AI3" s="22"/>
    </row>
    <row r="4" spans="1:36" ht="12.75">
      <c r="A4" s="80">
        <v>4.25</v>
      </c>
      <c r="B4" s="1" t="s">
        <v>44</v>
      </c>
      <c r="C4" s="1" t="s">
        <v>56</v>
      </c>
      <c r="D4" s="1">
        <v>6</v>
      </c>
      <c r="E4" s="2" t="s">
        <v>47</v>
      </c>
      <c r="F4" s="11">
        <v>1</v>
      </c>
      <c r="G4" s="13">
        <v>23</v>
      </c>
      <c r="H4" s="43"/>
      <c r="I4" s="44"/>
      <c r="J4" s="2">
        <v>270</v>
      </c>
      <c r="K4" s="9">
        <v>66</v>
      </c>
      <c r="L4" s="9">
        <v>8</v>
      </c>
      <c r="M4" s="9">
        <v>0</v>
      </c>
      <c r="N4" s="9"/>
      <c r="O4" s="34"/>
      <c r="P4" s="29">
        <f t="shared" si="0"/>
        <v>-0.12714095420810287</v>
      </c>
      <c r="Q4" s="29">
        <f t="shared" si="1"/>
        <v>0.9046548960473725</v>
      </c>
      <c r="R4" s="29">
        <f t="shared" si="2"/>
        <v>0.40277831002510206</v>
      </c>
      <c r="S4" s="10">
        <f t="shared" si="3"/>
        <v>98</v>
      </c>
      <c r="T4" s="10">
        <f aca="true" t="shared" si="10" ref="T4:T67">ASIN(R4/SQRT(P4^2+Q4^2+R4^2))*180/PI()</f>
        <v>23.792478544095214</v>
      </c>
      <c r="U4" s="18">
        <f t="shared" si="4"/>
        <v>278</v>
      </c>
      <c r="V4" s="10">
        <f t="shared" si="5"/>
        <v>188</v>
      </c>
      <c r="W4" s="19">
        <f t="shared" si="6"/>
        <v>66.20752145590478</v>
      </c>
      <c r="X4" s="35"/>
      <c r="Y4" s="37"/>
      <c r="Z4" s="22" t="s">
        <v>48</v>
      </c>
      <c r="AA4" s="2">
        <v>0</v>
      </c>
      <c r="AB4" s="1">
        <v>145</v>
      </c>
      <c r="AC4" s="26">
        <v>1.6</v>
      </c>
      <c r="AD4" s="27">
        <v>41.4</v>
      </c>
      <c r="AE4" s="18">
        <f t="shared" si="7"/>
        <v>276.4</v>
      </c>
      <c r="AF4" s="10">
        <f t="shared" si="8"/>
        <v>186.39999999999998</v>
      </c>
      <c r="AG4" s="10">
        <f t="shared" si="9"/>
        <v>66.20752145590478</v>
      </c>
      <c r="AH4" s="36"/>
      <c r="AI4" s="22" t="str">
        <f>Z4</f>
        <v>N</v>
      </c>
      <c r="AJ4" t="s">
        <v>49</v>
      </c>
    </row>
    <row r="5" spans="1:36" ht="12.75">
      <c r="A5" s="80">
        <v>5.49</v>
      </c>
      <c r="B5" s="1" t="s">
        <v>44</v>
      </c>
      <c r="C5" s="1" t="s">
        <v>56</v>
      </c>
      <c r="D5" s="1">
        <v>6</v>
      </c>
      <c r="E5" s="2" t="s">
        <v>47</v>
      </c>
      <c r="F5" s="11">
        <v>125</v>
      </c>
      <c r="G5" s="13">
        <v>145</v>
      </c>
      <c r="H5" s="43"/>
      <c r="I5" s="44"/>
      <c r="J5" s="2">
        <v>270</v>
      </c>
      <c r="K5" s="9">
        <v>84</v>
      </c>
      <c r="L5" s="9">
        <v>155</v>
      </c>
      <c r="M5" s="9">
        <v>0</v>
      </c>
      <c r="N5" s="9"/>
      <c r="O5" s="34"/>
      <c r="P5" s="29">
        <f t="shared" si="0"/>
        <v>-0.4203031146836055</v>
      </c>
      <c r="Q5" s="29">
        <f t="shared" si="1"/>
        <v>-0.9013429381507145</v>
      </c>
      <c r="R5" s="29">
        <f t="shared" si="2"/>
        <v>-0.09473496022644876</v>
      </c>
      <c r="S5" s="10">
        <f t="shared" si="3"/>
        <v>245</v>
      </c>
      <c r="T5" s="10">
        <f t="shared" si="10"/>
        <v>-5.44139335432502</v>
      </c>
      <c r="U5" s="18">
        <f t="shared" si="4"/>
        <v>245</v>
      </c>
      <c r="V5" s="10">
        <f t="shared" si="5"/>
        <v>155</v>
      </c>
      <c r="W5" s="19">
        <f t="shared" si="6"/>
        <v>84.55860664567498</v>
      </c>
      <c r="X5" s="35"/>
      <c r="Y5" s="37"/>
      <c r="Z5" s="22" t="s">
        <v>48</v>
      </c>
      <c r="AA5" s="2">
        <v>0</v>
      </c>
      <c r="AB5" s="1">
        <v>145</v>
      </c>
      <c r="AC5" s="26">
        <v>358.2</v>
      </c>
      <c r="AD5" s="27">
        <v>41.7</v>
      </c>
      <c r="AE5" s="18">
        <f t="shared" si="7"/>
        <v>246.8</v>
      </c>
      <c r="AF5" s="10">
        <f t="shared" si="8"/>
        <v>156.8</v>
      </c>
      <c r="AG5" s="10">
        <f t="shared" si="9"/>
        <v>84.55860664567498</v>
      </c>
      <c r="AH5" s="36"/>
      <c r="AI5" s="22" t="str">
        <f>Z5</f>
        <v>N</v>
      </c>
      <c r="AJ5" t="s">
        <v>50</v>
      </c>
    </row>
    <row r="6" spans="1:35" ht="12.75">
      <c r="A6" s="80">
        <v>14.075</v>
      </c>
      <c r="B6" s="1" t="s">
        <v>44</v>
      </c>
      <c r="C6" s="1" t="s">
        <v>45</v>
      </c>
      <c r="D6" s="1">
        <v>7</v>
      </c>
      <c r="E6" s="2" t="s">
        <v>47</v>
      </c>
      <c r="F6" s="11">
        <v>0</v>
      </c>
      <c r="G6" s="13">
        <v>36</v>
      </c>
      <c r="H6" s="43"/>
      <c r="I6" s="44"/>
      <c r="J6" s="2">
        <v>270</v>
      </c>
      <c r="K6" s="9">
        <v>84</v>
      </c>
      <c r="L6" s="9">
        <v>35</v>
      </c>
      <c r="M6" s="9">
        <v>0</v>
      </c>
      <c r="N6" s="9"/>
      <c r="O6" s="34"/>
      <c r="P6" s="29">
        <f t="shared" si="0"/>
        <v>-0.570434324618422</v>
      </c>
      <c r="Q6" s="29">
        <f t="shared" si="1"/>
        <v>0.8146646436810838</v>
      </c>
      <c r="R6" s="29">
        <f t="shared" si="2"/>
        <v>0.0856247043720851</v>
      </c>
      <c r="S6" s="10">
        <f t="shared" si="3"/>
        <v>125</v>
      </c>
      <c r="T6" s="10">
        <f t="shared" si="10"/>
        <v>4.920822714381607</v>
      </c>
      <c r="U6" s="18">
        <f t="shared" si="4"/>
        <v>305</v>
      </c>
      <c r="V6" s="10">
        <f t="shared" si="5"/>
        <v>215</v>
      </c>
      <c r="W6" s="19">
        <f t="shared" si="6"/>
        <v>85.0791772856184</v>
      </c>
      <c r="X6" s="35"/>
      <c r="Y6" s="37"/>
      <c r="Z6" s="22" t="s">
        <v>48</v>
      </c>
      <c r="AA6" s="2">
        <v>0</v>
      </c>
      <c r="AB6" s="9">
        <v>145</v>
      </c>
      <c r="AC6" s="26">
        <v>4.6</v>
      </c>
      <c r="AD6" s="27">
        <v>49.1</v>
      </c>
      <c r="AE6" s="18">
        <f t="shared" si="7"/>
        <v>300.4</v>
      </c>
      <c r="AF6" s="10">
        <f t="shared" si="8"/>
        <v>210.39999999999998</v>
      </c>
      <c r="AG6" s="10">
        <f t="shared" si="9"/>
        <v>85.0791772856184</v>
      </c>
      <c r="AH6" s="36"/>
      <c r="AI6" s="22" t="str">
        <f>Z6</f>
        <v>N</v>
      </c>
    </row>
    <row r="7" spans="1:35" ht="12.75">
      <c r="A7" s="80">
        <v>14.705</v>
      </c>
      <c r="B7" s="1" t="s">
        <v>44</v>
      </c>
      <c r="C7" s="1" t="s">
        <v>45</v>
      </c>
      <c r="D7" s="1">
        <v>7</v>
      </c>
      <c r="E7" s="2" t="s">
        <v>47</v>
      </c>
      <c r="F7" s="11">
        <v>63</v>
      </c>
      <c r="G7" s="13">
        <v>94</v>
      </c>
      <c r="H7" s="43"/>
      <c r="I7" s="44"/>
      <c r="J7" s="2">
        <v>270</v>
      </c>
      <c r="K7" s="9">
        <v>76</v>
      </c>
      <c r="L7" s="9">
        <v>5</v>
      </c>
      <c r="M7" s="9">
        <v>0</v>
      </c>
      <c r="N7" s="9"/>
      <c r="O7" s="34"/>
      <c r="P7" s="29">
        <f t="shared" si="0"/>
        <v>-0.08456684470846289</v>
      </c>
      <c r="Q7" s="29">
        <f t="shared" si="1"/>
        <v>0.9666034580972273</v>
      </c>
      <c r="R7" s="29">
        <f t="shared" si="2"/>
        <v>0.24100130974869394</v>
      </c>
      <c r="S7" s="10">
        <f t="shared" si="3"/>
        <v>95</v>
      </c>
      <c r="T7" s="10">
        <f t="shared" si="10"/>
        <v>13.948809701325867</v>
      </c>
      <c r="U7" s="18">
        <f t="shared" si="4"/>
        <v>275</v>
      </c>
      <c r="V7" s="10">
        <f t="shared" si="5"/>
        <v>185</v>
      </c>
      <c r="W7" s="19">
        <f t="shared" si="6"/>
        <v>76.05119029867413</v>
      </c>
      <c r="X7" s="35"/>
      <c r="Y7" s="37"/>
      <c r="Z7" s="22" t="s">
        <v>48</v>
      </c>
      <c r="AA7" s="2">
        <v>0</v>
      </c>
      <c r="AB7" s="9">
        <v>145</v>
      </c>
      <c r="AC7" s="26">
        <v>4.6</v>
      </c>
      <c r="AD7" s="27">
        <v>49.1</v>
      </c>
      <c r="AE7" s="18">
        <f t="shared" si="7"/>
        <v>270.4</v>
      </c>
      <c r="AF7" s="10">
        <f t="shared" si="8"/>
        <v>180.39999999999998</v>
      </c>
      <c r="AG7" s="10">
        <f t="shared" si="9"/>
        <v>76.05119029867413</v>
      </c>
      <c r="AH7" s="36"/>
      <c r="AI7" s="22" t="str">
        <f>Z7</f>
        <v>N</v>
      </c>
    </row>
    <row r="8" spans="1:35" ht="12.75">
      <c r="A8" s="80">
        <v>15.69</v>
      </c>
      <c r="B8" s="1" t="s">
        <v>44</v>
      </c>
      <c r="C8" s="1" t="s">
        <v>45</v>
      </c>
      <c r="D8" s="1">
        <v>9</v>
      </c>
      <c r="E8" s="2" t="s">
        <v>46</v>
      </c>
      <c r="F8" s="11">
        <v>3</v>
      </c>
      <c r="G8" s="13">
        <v>8</v>
      </c>
      <c r="H8" s="43"/>
      <c r="I8" s="44"/>
      <c r="J8" s="2">
        <v>270</v>
      </c>
      <c r="K8" s="9">
        <v>32</v>
      </c>
      <c r="L8" s="9">
        <v>180</v>
      </c>
      <c r="M8" s="9">
        <v>23</v>
      </c>
      <c r="N8" s="9"/>
      <c r="O8" s="34"/>
      <c r="P8" s="29">
        <f t="shared" si="0"/>
        <v>-0.3313587896243805</v>
      </c>
      <c r="Q8" s="29">
        <f t="shared" si="1"/>
        <v>-0.48779325466461126</v>
      </c>
      <c r="R8" s="29">
        <f t="shared" si="2"/>
        <v>-0.7806323884730919</v>
      </c>
      <c r="S8" s="10">
        <f t="shared" si="3"/>
        <v>235.81166544378763</v>
      </c>
      <c r="T8" s="10">
        <f t="shared" si="10"/>
        <v>-52.932325188692204</v>
      </c>
      <c r="U8" s="18">
        <f t="shared" si="4"/>
        <v>235.81166544378763</v>
      </c>
      <c r="V8" s="10">
        <f t="shared" si="5"/>
        <v>145.81166544378763</v>
      </c>
      <c r="W8" s="19">
        <f t="shared" si="6"/>
        <v>37.067674811307796</v>
      </c>
      <c r="X8" s="35"/>
      <c r="Y8" s="37"/>
      <c r="Z8" s="22"/>
      <c r="AA8" s="2">
        <v>0</v>
      </c>
      <c r="AB8" s="9">
        <v>53</v>
      </c>
      <c r="AC8" s="26">
        <v>355.4</v>
      </c>
      <c r="AD8" s="27">
        <v>39.6</v>
      </c>
      <c r="AE8" s="18">
        <f t="shared" si="7"/>
        <v>240.41166544378765</v>
      </c>
      <c r="AF8" s="10">
        <f t="shared" si="8"/>
        <v>150.41166544378765</v>
      </c>
      <c r="AG8" s="10">
        <f t="shared" si="9"/>
        <v>37.067674811307796</v>
      </c>
      <c r="AH8" s="36"/>
      <c r="AI8" s="22"/>
    </row>
    <row r="9" spans="1:35" ht="12.75">
      <c r="A9" s="80">
        <v>16.09</v>
      </c>
      <c r="B9" s="1" t="s">
        <v>44</v>
      </c>
      <c r="C9" s="1" t="s">
        <v>45</v>
      </c>
      <c r="D9" s="1">
        <v>9</v>
      </c>
      <c r="E9" s="2" t="s">
        <v>46</v>
      </c>
      <c r="F9" s="11">
        <v>43</v>
      </c>
      <c r="G9" s="13">
        <v>45</v>
      </c>
      <c r="H9" s="43"/>
      <c r="I9" s="44"/>
      <c r="J9" s="2">
        <v>90</v>
      </c>
      <c r="K9" s="9">
        <v>5</v>
      </c>
      <c r="L9" s="9">
        <v>180</v>
      </c>
      <c r="M9" s="9">
        <v>3</v>
      </c>
      <c r="N9" s="9"/>
      <c r="O9" s="34"/>
      <c r="P9" s="29">
        <f t="shared" si="0"/>
        <v>0.05213680212878222</v>
      </c>
      <c r="Q9" s="29">
        <f t="shared" si="1"/>
        <v>-0.0870362988312832</v>
      </c>
      <c r="R9" s="29">
        <f t="shared" si="2"/>
        <v>0.994829447880333</v>
      </c>
      <c r="S9" s="10">
        <f t="shared" si="3"/>
        <v>300.9226062699279</v>
      </c>
      <c r="T9" s="10">
        <f t="shared" si="10"/>
        <v>84.17685049823567</v>
      </c>
      <c r="U9" s="18">
        <f t="shared" si="4"/>
        <v>120.92260626992788</v>
      </c>
      <c r="V9" s="10">
        <f t="shared" si="5"/>
        <v>30.922606269927883</v>
      </c>
      <c r="W9" s="19">
        <f t="shared" si="6"/>
        <v>5.823149501764334</v>
      </c>
      <c r="X9" s="35"/>
      <c r="Y9" s="37"/>
      <c r="Z9" s="22"/>
      <c r="AA9" s="2">
        <v>0</v>
      </c>
      <c r="AB9" s="9">
        <v>53</v>
      </c>
      <c r="AC9" s="26">
        <v>342.7</v>
      </c>
      <c r="AD9" s="27">
        <v>62</v>
      </c>
      <c r="AE9" s="18">
        <f t="shared" si="7"/>
        <v>138.2226062699279</v>
      </c>
      <c r="AF9" s="10">
        <f t="shared" si="8"/>
        <v>48.222606269927894</v>
      </c>
      <c r="AG9" s="10">
        <f t="shared" si="9"/>
        <v>5.823149501764334</v>
      </c>
      <c r="AH9" s="36"/>
      <c r="AI9" s="22"/>
    </row>
    <row r="10" spans="1:35" ht="12.75">
      <c r="A10" s="80">
        <v>15.83</v>
      </c>
      <c r="B10" s="1" t="s">
        <v>44</v>
      </c>
      <c r="C10" s="1" t="s">
        <v>51</v>
      </c>
      <c r="D10" s="1">
        <v>1</v>
      </c>
      <c r="E10" s="2" t="s">
        <v>46</v>
      </c>
      <c r="F10" s="11">
        <v>33</v>
      </c>
      <c r="G10" s="13">
        <v>38</v>
      </c>
      <c r="H10" s="43"/>
      <c r="I10" s="44"/>
      <c r="J10" s="2">
        <v>90</v>
      </c>
      <c r="K10" s="9">
        <v>32</v>
      </c>
      <c r="L10" s="9">
        <v>0</v>
      </c>
      <c r="M10" s="9">
        <v>31</v>
      </c>
      <c r="N10" s="9"/>
      <c r="O10" s="34"/>
      <c r="P10" s="29">
        <f t="shared" si="0"/>
        <v>0.43677705887554213</v>
      </c>
      <c r="Q10" s="29">
        <f t="shared" si="1"/>
        <v>0.45422946531282565</v>
      </c>
      <c r="R10" s="29">
        <f t="shared" si="2"/>
        <v>-0.726919097447969</v>
      </c>
      <c r="S10" s="10">
        <f t="shared" si="3"/>
        <v>46.12212576746161</v>
      </c>
      <c r="T10" s="10">
        <f t="shared" si="10"/>
        <v>-49.07836833811708</v>
      </c>
      <c r="U10" s="18">
        <f t="shared" si="4"/>
        <v>46.12212576746161</v>
      </c>
      <c r="V10" s="10">
        <f t="shared" si="5"/>
        <v>316.1221257674616</v>
      </c>
      <c r="W10" s="19">
        <f t="shared" si="6"/>
        <v>40.92163166188292</v>
      </c>
      <c r="X10" s="35"/>
      <c r="Y10" s="37"/>
      <c r="Z10" s="22"/>
      <c r="AA10" s="2">
        <v>0</v>
      </c>
      <c r="AB10" s="9">
        <v>41</v>
      </c>
      <c r="AC10" s="26">
        <v>251.1</v>
      </c>
      <c r="AD10" s="27">
        <v>45.5</v>
      </c>
      <c r="AE10" s="18">
        <f t="shared" si="7"/>
        <v>155.0221257674616</v>
      </c>
      <c r="AF10" s="10">
        <f t="shared" si="8"/>
        <v>65.0221257674616</v>
      </c>
      <c r="AG10" s="10">
        <f t="shared" si="9"/>
        <v>40.92163166188292</v>
      </c>
      <c r="AH10" s="36"/>
      <c r="AI10" s="22"/>
    </row>
    <row r="11" spans="1:35" ht="12.75">
      <c r="A11" s="80">
        <v>16.1</v>
      </c>
      <c r="B11" s="1" t="s">
        <v>44</v>
      </c>
      <c r="C11" s="1" t="s">
        <v>51</v>
      </c>
      <c r="D11" s="1">
        <v>1</v>
      </c>
      <c r="E11" s="2" t="s">
        <v>46</v>
      </c>
      <c r="F11" s="11">
        <v>60</v>
      </c>
      <c r="G11" s="13">
        <v>62</v>
      </c>
      <c r="H11" s="43"/>
      <c r="I11" s="44"/>
      <c r="J11" s="2">
        <v>90</v>
      </c>
      <c r="K11" s="9">
        <v>12</v>
      </c>
      <c r="L11" s="9">
        <v>0</v>
      </c>
      <c r="M11" s="9">
        <v>33</v>
      </c>
      <c r="N11" s="9"/>
      <c r="O11" s="34"/>
      <c r="P11" s="29">
        <f t="shared" si="0"/>
        <v>0.532737365365924</v>
      </c>
      <c r="Q11" s="29">
        <f t="shared" si="1"/>
        <v>0.1743694158206236</v>
      </c>
      <c r="R11" s="29">
        <f t="shared" si="2"/>
        <v>-0.8203436038418747</v>
      </c>
      <c r="S11" s="10">
        <f t="shared" si="3"/>
        <v>18.123706498738528</v>
      </c>
      <c r="T11" s="10">
        <f t="shared" si="10"/>
        <v>-55.6548723251268</v>
      </c>
      <c r="U11" s="18">
        <f t="shared" si="4"/>
        <v>18.123706498738528</v>
      </c>
      <c r="V11" s="10">
        <f t="shared" si="5"/>
        <v>288.12370649873856</v>
      </c>
      <c r="W11" s="19">
        <f t="shared" si="6"/>
        <v>34.3451276748732</v>
      </c>
      <c r="X11" s="35"/>
      <c r="Y11" s="37"/>
      <c r="Z11" s="22"/>
      <c r="AA11" s="2">
        <v>57</v>
      </c>
      <c r="AB11" s="9">
        <v>142</v>
      </c>
      <c r="AC11" s="26">
        <v>301.6</v>
      </c>
      <c r="AD11" s="27">
        <v>47.1</v>
      </c>
      <c r="AE11" s="18">
        <f t="shared" si="7"/>
        <v>76.52370649873853</v>
      </c>
      <c r="AF11" s="10">
        <f t="shared" si="8"/>
        <v>346.52370649873853</v>
      </c>
      <c r="AG11" s="10">
        <f t="shared" si="9"/>
        <v>34.3451276748732</v>
      </c>
      <c r="AH11" s="36"/>
      <c r="AI11" s="22"/>
    </row>
    <row r="12" spans="1:35" ht="12.75">
      <c r="A12" s="80">
        <v>16.44</v>
      </c>
      <c r="B12" s="1" t="s">
        <v>44</v>
      </c>
      <c r="C12" s="1" t="s">
        <v>51</v>
      </c>
      <c r="D12" s="1">
        <v>1</v>
      </c>
      <c r="E12" s="2" t="s">
        <v>46</v>
      </c>
      <c r="F12" s="11">
        <v>94</v>
      </c>
      <c r="G12" s="13">
        <v>97</v>
      </c>
      <c r="H12" s="43"/>
      <c r="I12" s="44"/>
      <c r="J12" s="2">
        <v>90</v>
      </c>
      <c r="K12" s="9">
        <v>21</v>
      </c>
      <c r="L12" s="9">
        <v>0</v>
      </c>
      <c r="M12" s="9">
        <v>29</v>
      </c>
      <c r="N12" s="9"/>
      <c r="O12" s="34"/>
      <c r="P12" s="29">
        <f t="shared" si="0"/>
        <v>0.45260877203952177</v>
      </c>
      <c r="Q12" s="29">
        <f t="shared" si="1"/>
        <v>0.31343567107945625</v>
      </c>
      <c r="R12" s="29">
        <f t="shared" si="2"/>
        <v>-0.8165278392140548</v>
      </c>
      <c r="S12" s="10">
        <f t="shared" si="3"/>
        <v>34.702951800237535</v>
      </c>
      <c r="T12" s="10">
        <f t="shared" si="10"/>
        <v>-56.0102673975322</v>
      </c>
      <c r="U12" s="18">
        <f t="shared" si="4"/>
        <v>34.702951800237535</v>
      </c>
      <c r="V12" s="10">
        <f t="shared" si="5"/>
        <v>304.70295180023754</v>
      </c>
      <c r="W12" s="19">
        <f t="shared" si="6"/>
        <v>33.9897326024678</v>
      </c>
      <c r="X12" s="35"/>
      <c r="Y12" s="37"/>
      <c r="Z12" s="22"/>
      <c r="AA12" s="2">
        <v>57</v>
      </c>
      <c r="AB12" s="9">
        <v>142</v>
      </c>
      <c r="AC12" s="26">
        <v>257.1</v>
      </c>
      <c r="AD12" s="27">
        <v>40</v>
      </c>
      <c r="AE12" s="18">
        <f t="shared" si="7"/>
        <v>137.60295180023752</v>
      </c>
      <c r="AF12" s="10">
        <f t="shared" si="8"/>
        <v>47.60295180023752</v>
      </c>
      <c r="AG12" s="10">
        <f t="shared" si="9"/>
        <v>33.9897326024678</v>
      </c>
      <c r="AH12" s="36"/>
      <c r="AI12" s="22"/>
    </row>
    <row r="13" spans="1:35" ht="12.75">
      <c r="A13" s="80">
        <v>17.295</v>
      </c>
      <c r="B13" s="1" t="s">
        <v>44</v>
      </c>
      <c r="C13" s="1" t="s">
        <v>51</v>
      </c>
      <c r="D13" s="1">
        <v>2</v>
      </c>
      <c r="E13" s="2" t="s">
        <v>47</v>
      </c>
      <c r="F13" s="11">
        <v>36</v>
      </c>
      <c r="G13" s="13">
        <v>67</v>
      </c>
      <c r="H13" s="43"/>
      <c r="I13" s="44"/>
      <c r="J13" s="2">
        <v>90</v>
      </c>
      <c r="K13" s="9">
        <v>80</v>
      </c>
      <c r="L13" s="9">
        <v>47</v>
      </c>
      <c r="M13" s="9">
        <v>0</v>
      </c>
      <c r="N13" s="9"/>
      <c r="O13" s="34"/>
      <c r="P13" s="29">
        <f t="shared" si="0"/>
        <v>-0.720242795548736</v>
      </c>
      <c r="Q13" s="29">
        <f t="shared" si="1"/>
        <v>0.6716372725311599</v>
      </c>
      <c r="R13" s="29">
        <f t="shared" si="2"/>
        <v>-0.1184277723966879</v>
      </c>
      <c r="S13" s="10">
        <f t="shared" si="3"/>
        <v>137</v>
      </c>
      <c r="T13" s="10">
        <f t="shared" si="10"/>
        <v>-6.857159714000394</v>
      </c>
      <c r="U13" s="18">
        <f t="shared" si="4"/>
        <v>137</v>
      </c>
      <c r="V13" s="10">
        <f t="shared" si="5"/>
        <v>47</v>
      </c>
      <c r="W13" s="19">
        <f t="shared" si="6"/>
        <v>83.14284028599961</v>
      </c>
      <c r="X13" s="35"/>
      <c r="Y13" s="37"/>
      <c r="Z13" s="22"/>
      <c r="AA13" s="2">
        <v>0</v>
      </c>
      <c r="AB13" s="9">
        <v>146</v>
      </c>
      <c r="AC13" s="26">
        <v>300.6</v>
      </c>
      <c r="AD13" s="27">
        <v>70.8</v>
      </c>
      <c r="AE13" s="18">
        <f t="shared" si="7"/>
        <v>196.39999999999998</v>
      </c>
      <c r="AF13" s="10">
        <f t="shared" si="8"/>
        <v>106.39999999999998</v>
      </c>
      <c r="AG13" s="10">
        <f t="shared" si="9"/>
        <v>83.14284028599961</v>
      </c>
      <c r="AH13" s="36"/>
      <c r="AI13" s="22"/>
    </row>
    <row r="14" spans="1:35" ht="12.75">
      <c r="A14" s="80">
        <v>21.505</v>
      </c>
      <c r="B14" s="1" t="s">
        <v>44</v>
      </c>
      <c r="C14" s="1" t="s">
        <v>51</v>
      </c>
      <c r="D14" s="1">
        <v>6</v>
      </c>
      <c r="E14" s="2" t="s">
        <v>46</v>
      </c>
      <c r="F14" s="11">
        <v>12</v>
      </c>
      <c r="G14" s="13">
        <v>12</v>
      </c>
      <c r="H14" s="43"/>
      <c r="I14" s="44"/>
      <c r="J14" s="2">
        <v>90</v>
      </c>
      <c r="K14" s="9">
        <v>6</v>
      </c>
      <c r="L14" s="9">
        <v>0</v>
      </c>
      <c r="M14" s="9">
        <v>10</v>
      </c>
      <c r="N14" s="9"/>
      <c r="O14" s="34"/>
      <c r="P14" s="29">
        <f t="shared" si="0"/>
        <v>0.1726969147805622</v>
      </c>
      <c r="Q14" s="29">
        <f t="shared" si="1"/>
        <v>0.10294044103643692</v>
      </c>
      <c r="R14" s="29">
        <f t="shared" si="2"/>
        <v>-0.9794128730990714</v>
      </c>
      <c r="S14" s="10">
        <f t="shared" si="3"/>
        <v>30.79814408198603</v>
      </c>
      <c r="T14" s="10">
        <f t="shared" si="10"/>
        <v>-78.39971637749203</v>
      </c>
      <c r="U14" s="18">
        <f t="shared" si="4"/>
        <v>30.79814408198603</v>
      </c>
      <c r="V14" s="10">
        <f t="shared" si="5"/>
        <v>300.79814408198604</v>
      </c>
      <c r="W14" s="19">
        <f t="shared" si="6"/>
        <v>11.600283622507973</v>
      </c>
      <c r="X14" s="35"/>
      <c r="Y14" s="37"/>
      <c r="Z14" s="22"/>
      <c r="AA14" s="2">
        <v>0</v>
      </c>
      <c r="AB14" s="9">
        <v>50</v>
      </c>
      <c r="AC14" s="26">
        <v>16.1</v>
      </c>
      <c r="AD14" s="27">
        <v>49</v>
      </c>
      <c r="AE14" s="18">
        <f t="shared" si="7"/>
        <v>14.69814408198603</v>
      </c>
      <c r="AF14" s="10">
        <f t="shared" si="8"/>
        <v>284.698144081986</v>
      </c>
      <c r="AG14" s="10">
        <f t="shared" si="9"/>
        <v>11.600283622507973</v>
      </c>
      <c r="AH14" s="36"/>
      <c r="AI14" s="22"/>
    </row>
    <row r="15" spans="1:35" ht="12.75">
      <c r="A15" s="80">
        <v>23.835</v>
      </c>
      <c r="B15" s="1" t="s">
        <v>44</v>
      </c>
      <c r="C15" s="1" t="s">
        <v>51</v>
      </c>
      <c r="D15" s="1">
        <v>9</v>
      </c>
      <c r="E15" s="2" t="s">
        <v>46</v>
      </c>
      <c r="F15" s="11">
        <v>62</v>
      </c>
      <c r="G15" s="13">
        <v>65</v>
      </c>
      <c r="H15" s="43"/>
      <c r="I15" s="44"/>
      <c r="J15" s="2">
        <v>90</v>
      </c>
      <c r="K15" s="9">
        <v>23</v>
      </c>
      <c r="L15" s="9">
        <v>180</v>
      </c>
      <c r="M15" s="9">
        <v>43</v>
      </c>
      <c r="N15" s="9"/>
      <c r="O15" s="34"/>
      <c r="P15" s="29">
        <f t="shared" si="0"/>
        <v>0.6277828004841348</v>
      </c>
      <c r="Q15" s="29">
        <f t="shared" si="1"/>
        <v>-0.28576265715846616</v>
      </c>
      <c r="R15" s="29">
        <f t="shared" si="2"/>
        <v>0.6732146319308544</v>
      </c>
      <c r="S15" s="10">
        <f t="shared" si="3"/>
        <v>335.5252798597702</v>
      </c>
      <c r="T15" s="10">
        <f t="shared" si="10"/>
        <v>44.30443072747525</v>
      </c>
      <c r="U15" s="18">
        <f t="shared" si="4"/>
        <v>155.5252798597702</v>
      </c>
      <c r="V15" s="10">
        <f t="shared" si="5"/>
        <v>65.5252798597702</v>
      </c>
      <c r="W15" s="19">
        <f t="shared" si="6"/>
        <v>45.69556927252475</v>
      </c>
      <c r="X15" s="35"/>
      <c r="Y15" s="37"/>
      <c r="Z15" s="22"/>
      <c r="AA15" s="2">
        <v>0</v>
      </c>
      <c r="AB15" s="9">
        <v>119</v>
      </c>
      <c r="AC15" s="26">
        <v>355.9</v>
      </c>
      <c r="AD15" s="27">
        <v>77.3</v>
      </c>
      <c r="AE15" s="18">
        <f t="shared" si="7"/>
        <v>159.62527985977022</v>
      </c>
      <c r="AF15" s="10">
        <f t="shared" si="8"/>
        <v>69.62527985977022</v>
      </c>
      <c r="AG15" s="10">
        <f t="shared" si="9"/>
        <v>45.69556927252475</v>
      </c>
      <c r="AH15" s="36"/>
      <c r="AI15" s="22"/>
    </row>
    <row r="16" spans="1:35" ht="12.75">
      <c r="A16" s="80">
        <v>24.975</v>
      </c>
      <c r="B16" s="1" t="s">
        <v>44</v>
      </c>
      <c r="C16" s="1" t="s">
        <v>51</v>
      </c>
      <c r="D16" s="1">
        <v>10</v>
      </c>
      <c r="E16" s="2" t="s">
        <v>46</v>
      </c>
      <c r="F16" s="11">
        <v>56</v>
      </c>
      <c r="G16" s="13">
        <v>57</v>
      </c>
      <c r="H16" s="43"/>
      <c r="I16" s="44"/>
      <c r="J16" s="2">
        <v>270</v>
      </c>
      <c r="K16" s="9">
        <v>3</v>
      </c>
      <c r="L16" s="9">
        <v>0</v>
      </c>
      <c r="M16" s="9">
        <v>6</v>
      </c>
      <c r="N16" s="9"/>
      <c r="O16" s="34"/>
      <c r="P16" s="29">
        <f t="shared" si="0"/>
        <v>-0.10438521064158733</v>
      </c>
      <c r="Q16" s="29">
        <f t="shared" si="1"/>
        <v>0.05204925439864353</v>
      </c>
      <c r="R16" s="29">
        <f t="shared" si="2"/>
        <v>0.9931589376748557</v>
      </c>
      <c r="S16" s="10">
        <f t="shared" si="3"/>
        <v>153.49793026401855</v>
      </c>
      <c r="T16" s="10">
        <f t="shared" si="10"/>
        <v>83.30154702070026</v>
      </c>
      <c r="U16" s="18">
        <f t="shared" si="4"/>
        <v>333.4979302640186</v>
      </c>
      <c r="V16" s="10">
        <f t="shared" si="5"/>
        <v>243.49793026401858</v>
      </c>
      <c r="W16" s="19">
        <f t="shared" si="6"/>
        <v>6.698452979299745</v>
      </c>
      <c r="X16" s="35"/>
      <c r="Y16" s="37"/>
      <c r="Z16" s="22"/>
      <c r="AA16" s="2">
        <v>0</v>
      </c>
      <c r="AB16" s="9">
        <v>95</v>
      </c>
      <c r="AC16" s="26">
        <v>22.3</v>
      </c>
      <c r="AD16" s="27">
        <v>-48.7</v>
      </c>
      <c r="AE16" s="18">
        <f t="shared" si="7"/>
        <v>131.19793026401857</v>
      </c>
      <c r="AF16" s="10">
        <f t="shared" si="8"/>
        <v>41.19793026401857</v>
      </c>
      <c r="AG16" s="10">
        <f t="shared" si="9"/>
        <v>6.698452979299745</v>
      </c>
      <c r="AH16" s="36"/>
      <c r="AI16" s="22"/>
    </row>
    <row r="17" spans="1:35" ht="12.75">
      <c r="A17" s="80">
        <v>25.045</v>
      </c>
      <c r="B17" s="1" t="s">
        <v>44</v>
      </c>
      <c r="C17" s="1" t="s">
        <v>51</v>
      </c>
      <c r="D17" s="1">
        <v>10</v>
      </c>
      <c r="E17" s="2" t="s">
        <v>46</v>
      </c>
      <c r="F17" s="11">
        <v>63</v>
      </c>
      <c r="G17" s="13">
        <v>64</v>
      </c>
      <c r="H17" s="43"/>
      <c r="I17" s="44"/>
      <c r="J17" s="2">
        <v>270</v>
      </c>
      <c r="K17" s="9">
        <v>3</v>
      </c>
      <c r="L17" s="9">
        <v>0</v>
      </c>
      <c r="M17" s="9">
        <v>12</v>
      </c>
      <c r="N17" s="9"/>
      <c r="O17" s="34"/>
      <c r="P17" s="29">
        <f t="shared" si="0"/>
        <v>-0.2076267550713758</v>
      </c>
      <c r="Q17" s="29">
        <f t="shared" si="1"/>
        <v>0.05119229003114498</v>
      </c>
      <c r="R17" s="29">
        <f t="shared" si="2"/>
        <v>0.976807083442103</v>
      </c>
      <c r="S17" s="10">
        <f t="shared" si="3"/>
        <v>166.14945198949647</v>
      </c>
      <c r="T17" s="10">
        <f t="shared" si="10"/>
        <v>77.65150508042849</v>
      </c>
      <c r="U17" s="18">
        <f t="shared" si="4"/>
        <v>346.14945198949647</v>
      </c>
      <c r="V17" s="10">
        <f t="shared" si="5"/>
        <v>256.14945198949647</v>
      </c>
      <c r="W17" s="19">
        <f t="shared" si="6"/>
        <v>12.348494919571507</v>
      </c>
      <c r="X17" s="35"/>
      <c r="Y17" s="37"/>
      <c r="Z17" s="22"/>
      <c r="AA17" s="2">
        <v>0</v>
      </c>
      <c r="AB17" s="9">
        <v>95</v>
      </c>
      <c r="AC17" s="26">
        <v>15.2</v>
      </c>
      <c r="AD17" s="27">
        <v>-20</v>
      </c>
      <c r="AE17" s="18">
        <f t="shared" si="7"/>
        <v>150.94945198949648</v>
      </c>
      <c r="AF17" s="10">
        <f t="shared" si="8"/>
        <v>60.94945198949648</v>
      </c>
      <c r="AG17" s="10">
        <f t="shared" si="9"/>
        <v>12.348494919571507</v>
      </c>
      <c r="AH17" s="36"/>
      <c r="AI17" s="22"/>
    </row>
    <row r="18" spans="1:35" ht="12.75">
      <c r="A18" s="80">
        <v>25.195</v>
      </c>
      <c r="B18" s="1" t="s">
        <v>44</v>
      </c>
      <c r="C18" s="1" t="s">
        <v>51</v>
      </c>
      <c r="D18" s="1">
        <v>10</v>
      </c>
      <c r="E18" s="2" t="s">
        <v>46</v>
      </c>
      <c r="F18" s="11">
        <v>78</v>
      </c>
      <c r="G18" s="13">
        <v>79</v>
      </c>
      <c r="H18" s="43"/>
      <c r="I18" s="44"/>
      <c r="J18" s="2">
        <v>90</v>
      </c>
      <c r="K18" s="9">
        <v>3</v>
      </c>
      <c r="L18" s="9">
        <v>0</v>
      </c>
      <c r="M18" s="9">
        <v>4</v>
      </c>
      <c r="N18" s="9"/>
      <c r="O18" s="34"/>
      <c r="P18" s="29">
        <f t="shared" si="0"/>
        <v>0.06966087492121549</v>
      </c>
      <c r="Q18" s="29">
        <f t="shared" si="1"/>
        <v>0.05220846848393197</v>
      </c>
      <c r="R18" s="29">
        <f t="shared" si="2"/>
        <v>-0.9961969233988566</v>
      </c>
      <c r="S18" s="10">
        <f t="shared" si="3"/>
        <v>36.850317119400614</v>
      </c>
      <c r="T18" s="10">
        <f t="shared" si="10"/>
        <v>-85.00583060689412</v>
      </c>
      <c r="U18" s="18">
        <f t="shared" si="4"/>
        <v>36.850317119400614</v>
      </c>
      <c r="V18" s="10">
        <f t="shared" si="5"/>
        <v>306.85031711940064</v>
      </c>
      <c r="W18" s="19">
        <f t="shared" si="6"/>
        <v>4.994169393105878</v>
      </c>
      <c r="X18" s="35"/>
      <c r="Y18" s="37"/>
      <c r="Z18" s="22"/>
      <c r="AA18" s="2">
        <v>0</v>
      </c>
      <c r="AB18" s="9">
        <v>95</v>
      </c>
      <c r="AC18" s="26">
        <v>94.3</v>
      </c>
      <c r="AD18" s="27">
        <v>-32.1</v>
      </c>
      <c r="AE18" s="18">
        <f t="shared" si="7"/>
        <v>122.55031711940062</v>
      </c>
      <c r="AF18" s="10">
        <f t="shared" si="8"/>
        <v>32.55031711940062</v>
      </c>
      <c r="AG18" s="10">
        <f t="shared" si="9"/>
        <v>4.994169393105878</v>
      </c>
      <c r="AH18" s="36"/>
      <c r="AI18" s="22"/>
    </row>
    <row r="19" spans="1:35" ht="12.75">
      <c r="A19" s="80">
        <v>25.855</v>
      </c>
      <c r="B19" s="1" t="s">
        <v>44</v>
      </c>
      <c r="C19" s="1" t="s">
        <v>51</v>
      </c>
      <c r="D19" s="1" t="s">
        <v>52</v>
      </c>
      <c r="E19" s="2" t="s">
        <v>46</v>
      </c>
      <c r="F19" s="11">
        <v>26</v>
      </c>
      <c r="G19" s="13">
        <v>27</v>
      </c>
      <c r="H19" s="43"/>
      <c r="I19" s="44"/>
      <c r="J19" s="2">
        <v>270</v>
      </c>
      <c r="K19" s="9">
        <v>4</v>
      </c>
      <c r="L19" s="9">
        <v>0</v>
      </c>
      <c r="M19" s="9">
        <v>4</v>
      </c>
      <c r="N19" s="9"/>
      <c r="O19" s="34"/>
      <c r="P19" s="29">
        <f t="shared" si="0"/>
        <v>-0.06958655048003272</v>
      </c>
      <c r="Q19" s="29">
        <f t="shared" si="1"/>
        <v>0.06958655048003273</v>
      </c>
      <c r="R19" s="29">
        <f t="shared" si="2"/>
        <v>0.9951340343707851</v>
      </c>
      <c r="S19" s="10">
        <f t="shared" si="3"/>
        <v>135</v>
      </c>
      <c r="T19" s="10">
        <f t="shared" si="10"/>
        <v>84.35230034984484</v>
      </c>
      <c r="U19" s="18">
        <f t="shared" si="4"/>
        <v>315</v>
      </c>
      <c r="V19" s="10">
        <f t="shared" si="5"/>
        <v>225</v>
      </c>
      <c r="W19" s="19">
        <f t="shared" si="6"/>
        <v>5.647699650155161</v>
      </c>
      <c r="X19" s="35"/>
      <c r="Y19" s="37"/>
      <c r="Z19" s="22"/>
      <c r="AA19" s="2">
        <v>0</v>
      </c>
      <c r="AB19" s="9">
        <v>44</v>
      </c>
      <c r="AC19" s="26"/>
      <c r="AD19" s="27"/>
      <c r="AE19" s="18">
        <f t="shared" si="7"/>
        <v>315</v>
      </c>
      <c r="AF19" s="10">
        <f t="shared" si="8"/>
        <v>225</v>
      </c>
      <c r="AG19" s="10">
        <f t="shared" si="9"/>
        <v>5.647699650155161</v>
      </c>
      <c r="AH19" s="36"/>
      <c r="AI19" s="22"/>
    </row>
    <row r="20" spans="1:36" s="28" customFormat="1" ht="12.75">
      <c r="A20" s="80">
        <v>25.925</v>
      </c>
      <c r="B20" s="1" t="s">
        <v>44</v>
      </c>
      <c r="C20" s="1" t="s">
        <v>51</v>
      </c>
      <c r="D20" s="1" t="s">
        <v>52</v>
      </c>
      <c r="E20" s="2" t="s">
        <v>46</v>
      </c>
      <c r="F20" s="11">
        <v>33</v>
      </c>
      <c r="G20" s="13">
        <v>34</v>
      </c>
      <c r="H20" s="43"/>
      <c r="I20" s="44"/>
      <c r="J20" s="2">
        <v>270</v>
      </c>
      <c r="K20" s="9">
        <v>7</v>
      </c>
      <c r="L20" s="9">
        <v>180</v>
      </c>
      <c r="M20" s="9">
        <v>3</v>
      </c>
      <c r="N20" s="9"/>
      <c r="O20" s="34"/>
      <c r="P20" s="29">
        <f t="shared" si="0"/>
        <v>-0.05194585196140253</v>
      </c>
      <c r="Q20" s="29">
        <f t="shared" si="1"/>
        <v>-0.1217023257055278</v>
      </c>
      <c r="R20" s="29">
        <f t="shared" si="2"/>
        <v>-0.991185901636016</v>
      </c>
      <c r="S20" s="10">
        <f t="shared" si="3"/>
        <v>246.8858966206344</v>
      </c>
      <c r="T20" s="10">
        <f t="shared" si="10"/>
        <v>-82.39589554630736</v>
      </c>
      <c r="U20" s="18">
        <f t="shared" si="4"/>
        <v>246.8858966206344</v>
      </c>
      <c r="V20" s="10">
        <f t="shared" si="5"/>
        <v>156.8858966206344</v>
      </c>
      <c r="W20" s="19">
        <f t="shared" si="6"/>
        <v>7.604104453692642</v>
      </c>
      <c r="X20" s="35"/>
      <c r="Y20" s="37"/>
      <c r="Z20" s="22"/>
      <c r="AA20" s="2">
        <v>0</v>
      </c>
      <c r="AB20" s="9">
        <v>44</v>
      </c>
      <c r="AC20" s="26"/>
      <c r="AD20" s="27"/>
      <c r="AE20" s="18">
        <f t="shared" si="7"/>
        <v>246.8858966206344</v>
      </c>
      <c r="AF20" s="10">
        <f t="shared" si="8"/>
        <v>156.8858966206344</v>
      </c>
      <c r="AG20" s="10">
        <f t="shared" si="9"/>
        <v>7.604104453692642</v>
      </c>
      <c r="AH20" s="36"/>
      <c r="AI20" s="22"/>
      <c r="AJ20"/>
    </row>
    <row r="21" spans="1:36" s="28" customFormat="1" ht="12.75">
      <c r="A21" s="80">
        <v>25.62</v>
      </c>
      <c r="B21" s="9" t="s">
        <v>44</v>
      </c>
      <c r="C21" s="1" t="s">
        <v>53</v>
      </c>
      <c r="D21" s="1">
        <v>1</v>
      </c>
      <c r="E21" s="2" t="s">
        <v>46</v>
      </c>
      <c r="F21" s="11">
        <v>62</v>
      </c>
      <c r="G21" s="13">
        <v>63</v>
      </c>
      <c r="H21" s="43"/>
      <c r="I21" s="44"/>
      <c r="J21" s="2">
        <v>90</v>
      </c>
      <c r="K21" s="9">
        <v>1</v>
      </c>
      <c r="L21" s="9">
        <v>0</v>
      </c>
      <c r="M21" s="9">
        <v>4</v>
      </c>
      <c r="N21" s="9"/>
      <c r="O21" s="34"/>
      <c r="P21" s="29">
        <f t="shared" si="0"/>
        <v>0.06974584949530101</v>
      </c>
      <c r="Q21" s="29">
        <f t="shared" si="1"/>
        <v>0.017409893252357166</v>
      </c>
      <c r="R21" s="29">
        <f t="shared" si="2"/>
        <v>-0.9974121164231596</v>
      </c>
      <c r="S21" s="10">
        <f t="shared" si="3"/>
        <v>14.01569916405353</v>
      </c>
      <c r="T21" s="10">
        <f t="shared" si="10"/>
        <v>-85.87768053918494</v>
      </c>
      <c r="U21" s="18">
        <f t="shared" si="4"/>
        <v>14.01569916405353</v>
      </c>
      <c r="V21" s="10">
        <f t="shared" si="5"/>
        <v>284.01569916405356</v>
      </c>
      <c r="W21" s="19">
        <f t="shared" si="6"/>
        <v>4.1223194608150635</v>
      </c>
      <c r="X21" s="35"/>
      <c r="Y21" s="37"/>
      <c r="Z21" s="22"/>
      <c r="AA21" s="2">
        <v>0</v>
      </c>
      <c r="AB21" s="9">
        <v>130</v>
      </c>
      <c r="AC21" s="26">
        <v>118.1</v>
      </c>
      <c r="AD21" s="27">
        <v>34.9</v>
      </c>
      <c r="AE21" s="18">
        <f t="shared" si="7"/>
        <v>255.91569916405354</v>
      </c>
      <c r="AF21" s="10">
        <f t="shared" si="8"/>
        <v>165.91569916405354</v>
      </c>
      <c r="AG21" s="10">
        <f t="shared" si="9"/>
        <v>4.1223194608150635</v>
      </c>
      <c r="AH21" s="36"/>
      <c r="AI21" s="22"/>
      <c r="AJ21"/>
    </row>
    <row r="22" spans="1:36" s="28" customFormat="1" ht="12.75" customHeight="1">
      <c r="A22" s="80">
        <v>26.945</v>
      </c>
      <c r="B22" s="9" t="s">
        <v>44</v>
      </c>
      <c r="C22" s="1" t="s">
        <v>53</v>
      </c>
      <c r="D22" s="1">
        <v>2</v>
      </c>
      <c r="E22" s="2" t="s">
        <v>46</v>
      </c>
      <c r="F22" s="11">
        <v>61</v>
      </c>
      <c r="G22" s="13">
        <v>62</v>
      </c>
      <c r="H22" s="43"/>
      <c r="I22" s="44"/>
      <c r="J22" s="2">
        <v>90</v>
      </c>
      <c r="K22" s="9">
        <v>3</v>
      </c>
      <c r="L22" s="9">
        <v>180</v>
      </c>
      <c r="M22" s="9">
        <v>4</v>
      </c>
      <c r="N22" s="9"/>
      <c r="O22" s="34"/>
      <c r="P22" s="29">
        <f t="shared" si="0"/>
        <v>0.06966087492121549</v>
      </c>
      <c r="Q22" s="29">
        <f t="shared" si="1"/>
        <v>-0.052208468483931986</v>
      </c>
      <c r="R22" s="29">
        <f t="shared" si="2"/>
        <v>0.9961969233988566</v>
      </c>
      <c r="S22" s="10">
        <f t="shared" si="3"/>
        <v>323.14968288059936</v>
      </c>
      <c r="T22" s="10">
        <f t="shared" si="10"/>
        <v>85.00583060689412</v>
      </c>
      <c r="U22" s="18">
        <f t="shared" si="4"/>
        <v>143.14968288059936</v>
      </c>
      <c r="V22" s="10">
        <f t="shared" si="5"/>
        <v>53.14968288059936</v>
      </c>
      <c r="W22" s="19">
        <f t="shared" si="6"/>
        <v>4.994169393105878</v>
      </c>
      <c r="X22" s="35"/>
      <c r="Y22" s="37"/>
      <c r="Z22" s="22"/>
      <c r="AA22" s="2">
        <v>0</v>
      </c>
      <c r="AB22" s="9">
        <v>131</v>
      </c>
      <c r="AC22" s="26">
        <v>95.4</v>
      </c>
      <c r="AD22" s="27">
        <v>-27.5</v>
      </c>
      <c r="AE22" s="18">
        <f t="shared" si="7"/>
        <v>227.74968288059935</v>
      </c>
      <c r="AF22" s="10">
        <f t="shared" si="8"/>
        <v>137.74968288059935</v>
      </c>
      <c r="AG22" s="10">
        <f t="shared" si="9"/>
        <v>4.994169393105878</v>
      </c>
      <c r="AH22" s="36"/>
      <c r="AI22" s="22"/>
      <c r="AJ22"/>
    </row>
    <row r="23" spans="1:36" s="28" customFormat="1" ht="12.75">
      <c r="A23" s="80">
        <v>32.95</v>
      </c>
      <c r="B23" s="9" t="s">
        <v>44</v>
      </c>
      <c r="C23" s="1" t="s">
        <v>53</v>
      </c>
      <c r="D23" s="1">
        <v>7</v>
      </c>
      <c r="E23" s="2" t="s">
        <v>47</v>
      </c>
      <c r="F23" s="11">
        <v>101</v>
      </c>
      <c r="G23" s="13">
        <v>118</v>
      </c>
      <c r="H23" s="43"/>
      <c r="I23" s="44"/>
      <c r="J23" s="2">
        <v>270</v>
      </c>
      <c r="K23" s="9">
        <v>82</v>
      </c>
      <c r="L23" s="9">
        <v>17</v>
      </c>
      <c r="M23" s="9">
        <v>0</v>
      </c>
      <c r="N23" s="9"/>
      <c r="O23" s="34"/>
      <c r="P23" s="29">
        <f t="shared" si="0"/>
        <v>-0.28952636339046517</v>
      </c>
      <c r="Q23" s="29">
        <f t="shared" si="1"/>
        <v>0.9469980638158937</v>
      </c>
      <c r="R23" s="29">
        <f t="shared" si="2"/>
        <v>0.13309189835023452</v>
      </c>
      <c r="S23" s="10">
        <f t="shared" si="3"/>
        <v>107.00000000000001</v>
      </c>
      <c r="T23" s="10">
        <f t="shared" si="10"/>
        <v>7.654675542099828</v>
      </c>
      <c r="U23" s="18">
        <f t="shared" si="4"/>
        <v>287</v>
      </c>
      <c r="V23" s="10">
        <f t="shared" si="5"/>
        <v>197</v>
      </c>
      <c r="W23" s="19">
        <f t="shared" si="6"/>
        <v>82.34532445790018</v>
      </c>
      <c r="X23" s="35"/>
      <c r="Y23" s="37"/>
      <c r="Z23" s="22"/>
      <c r="AA23" s="2">
        <v>0</v>
      </c>
      <c r="AB23" s="9">
        <v>133</v>
      </c>
      <c r="AC23" s="26">
        <v>303.1</v>
      </c>
      <c r="AD23" s="27">
        <v>76</v>
      </c>
      <c r="AE23" s="18">
        <f t="shared" si="7"/>
        <v>343.9</v>
      </c>
      <c r="AF23" s="10">
        <f t="shared" si="8"/>
        <v>253.89999999999998</v>
      </c>
      <c r="AG23" s="10">
        <f t="shared" si="9"/>
        <v>82.34532445790018</v>
      </c>
      <c r="AH23" s="36"/>
      <c r="AI23" s="22"/>
      <c r="AJ23"/>
    </row>
    <row r="24" spans="1:35" ht="12.75">
      <c r="A24" s="80">
        <v>33</v>
      </c>
      <c r="B24" s="9" t="s">
        <v>44</v>
      </c>
      <c r="C24" s="1" t="s">
        <v>53</v>
      </c>
      <c r="D24" s="1">
        <v>7</v>
      </c>
      <c r="E24" s="2" t="s">
        <v>47</v>
      </c>
      <c r="F24" s="11">
        <v>106</v>
      </c>
      <c r="G24" s="13">
        <v>118</v>
      </c>
      <c r="H24" s="43"/>
      <c r="I24" s="44"/>
      <c r="J24" s="2">
        <v>270</v>
      </c>
      <c r="K24" s="9">
        <v>69</v>
      </c>
      <c r="L24" s="9">
        <v>34</v>
      </c>
      <c r="M24" s="9">
        <v>0</v>
      </c>
      <c r="N24" s="9"/>
      <c r="O24" s="34"/>
      <c r="P24" s="29">
        <f t="shared" si="0"/>
        <v>-0.5220515493164285</v>
      </c>
      <c r="Q24" s="29">
        <f t="shared" si="1"/>
        <v>0.7739732505681406</v>
      </c>
      <c r="R24" s="29">
        <f t="shared" si="2"/>
        <v>0.2971004949725634</v>
      </c>
      <c r="S24" s="10">
        <f t="shared" si="3"/>
        <v>124</v>
      </c>
      <c r="T24" s="10">
        <f t="shared" si="10"/>
        <v>17.653032022329448</v>
      </c>
      <c r="U24" s="18">
        <f t="shared" si="4"/>
        <v>304</v>
      </c>
      <c r="V24" s="10">
        <f t="shared" si="5"/>
        <v>214</v>
      </c>
      <c r="W24" s="19">
        <f t="shared" si="6"/>
        <v>72.34696797767054</v>
      </c>
      <c r="X24" s="35"/>
      <c r="Y24" s="37"/>
      <c r="Z24" s="22"/>
      <c r="AA24" s="2">
        <v>0</v>
      </c>
      <c r="AB24" s="9">
        <v>133</v>
      </c>
      <c r="AC24" s="26">
        <v>296.5</v>
      </c>
      <c r="AD24" s="27">
        <v>67.5</v>
      </c>
      <c r="AE24" s="18">
        <f t="shared" si="7"/>
        <v>7.5</v>
      </c>
      <c r="AF24" s="10">
        <f t="shared" si="8"/>
        <v>277.5</v>
      </c>
      <c r="AG24" s="10">
        <f t="shared" si="9"/>
        <v>72.34696797767054</v>
      </c>
      <c r="AH24" s="36"/>
      <c r="AI24" s="22"/>
    </row>
    <row r="25" spans="1:35" ht="12.75">
      <c r="A25" s="80">
        <v>34.1</v>
      </c>
      <c r="B25" s="9" t="s">
        <v>44</v>
      </c>
      <c r="C25" s="1" t="s">
        <v>53</v>
      </c>
      <c r="D25" s="1">
        <v>8</v>
      </c>
      <c r="E25" s="2" t="s">
        <v>46</v>
      </c>
      <c r="F25" s="11">
        <v>81</v>
      </c>
      <c r="G25" s="13">
        <v>82</v>
      </c>
      <c r="H25" s="43"/>
      <c r="I25" s="44"/>
      <c r="J25" s="2">
        <v>90</v>
      </c>
      <c r="K25" s="9">
        <v>3</v>
      </c>
      <c r="L25" s="9">
        <v>180</v>
      </c>
      <c r="M25" s="9">
        <v>4</v>
      </c>
      <c r="N25" s="9"/>
      <c r="O25" s="34"/>
      <c r="P25" s="29">
        <f t="shared" si="0"/>
        <v>0.06966087492121549</v>
      </c>
      <c r="Q25" s="29">
        <f t="shared" si="1"/>
        <v>-0.052208468483931986</v>
      </c>
      <c r="R25" s="29">
        <f t="shared" si="2"/>
        <v>0.9961969233988566</v>
      </c>
      <c r="S25" s="10">
        <f t="shared" si="3"/>
        <v>323.14968288059936</v>
      </c>
      <c r="T25" s="10">
        <f t="shared" si="10"/>
        <v>85.00583060689412</v>
      </c>
      <c r="U25" s="18">
        <f t="shared" si="4"/>
        <v>143.14968288059936</v>
      </c>
      <c r="V25" s="10">
        <f t="shared" si="5"/>
        <v>53.14968288059936</v>
      </c>
      <c r="W25" s="19">
        <f t="shared" si="6"/>
        <v>4.994169393105878</v>
      </c>
      <c r="X25" s="35"/>
      <c r="Y25" s="37"/>
      <c r="Z25" s="22"/>
      <c r="AA25" s="2">
        <v>0</v>
      </c>
      <c r="AB25" s="9">
        <v>131</v>
      </c>
      <c r="AC25" s="26">
        <v>355.4</v>
      </c>
      <c r="AD25" s="27">
        <v>59.7</v>
      </c>
      <c r="AE25" s="18">
        <f t="shared" si="7"/>
        <v>147.74968288059938</v>
      </c>
      <c r="AF25" s="10">
        <f t="shared" si="8"/>
        <v>57.74968288059938</v>
      </c>
      <c r="AG25" s="10">
        <f t="shared" si="9"/>
        <v>4.994169393105878</v>
      </c>
      <c r="AH25" s="36"/>
      <c r="AI25" s="22"/>
    </row>
    <row r="26" spans="1:35" ht="12.75">
      <c r="A26" s="80">
        <v>34.825</v>
      </c>
      <c r="B26" s="9" t="s">
        <v>44</v>
      </c>
      <c r="C26" s="1" t="s">
        <v>53</v>
      </c>
      <c r="D26" s="1">
        <v>9</v>
      </c>
      <c r="E26" s="2" t="s">
        <v>46</v>
      </c>
      <c r="F26" s="11">
        <v>22</v>
      </c>
      <c r="G26" s="13">
        <v>23</v>
      </c>
      <c r="H26" s="43"/>
      <c r="I26" s="44"/>
      <c r="J26" s="2">
        <v>90</v>
      </c>
      <c r="K26" s="9">
        <v>8</v>
      </c>
      <c r="L26" s="9">
        <v>180</v>
      </c>
      <c r="M26" s="9">
        <v>3</v>
      </c>
      <c r="N26" s="9"/>
      <c r="O26" s="34"/>
      <c r="P26" s="29">
        <f t="shared" si="0"/>
        <v>0.051826626314443305</v>
      </c>
      <c r="Q26" s="29">
        <f t="shared" si="1"/>
        <v>-0.13898236906210149</v>
      </c>
      <c r="R26" s="29">
        <f t="shared" si="2"/>
        <v>0.9889109407697048</v>
      </c>
      <c r="S26" s="10">
        <f t="shared" si="3"/>
        <v>290.4505219501267</v>
      </c>
      <c r="T26" s="10">
        <f t="shared" si="10"/>
        <v>81.46955163874233</v>
      </c>
      <c r="U26" s="18">
        <f t="shared" si="4"/>
        <v>110.4505219501267</v>
      </c>
      <c r="V26" s="10">
        <f t="shared" si="5"/>
        <v>20.4505219501267</v>
      </c>
      <c r="W26" s="19">
        <f t="shared" si="6"/>
        <v>8.530448361257669</v>
      </c>
      <c r="X26" s="35"/>
      <c r="Y26" s="37"/>
      <c r="Z26" s="22"/>
      <c r="AA26" s="2">
        <v>0</v>
      </c>
      <c r="AB26" s="9">
        <v>44</v>
      </c>
      <c r="AC26" s="26"/>
      <c r="AD26" s="27"/>
      <c r="AE26" s="18">
        <f t="shared" si="7"/>
        <v>110.4505219501267</v>
      </c>
      <c r="AF26" s="10">
        <f t="shared" si="8"/>
        <v>20.4505219501267</v>
      </c>
      <c r="AG26" s="10">
        <f t="shared" si="9"/>
        <v>8.530448361257669</v>
      </c>
      <c r="AH26" s="36"/>
      <c r="AI26" s="22"/>
    </row>
    <row r="27" spans="1:36" ht="12.75">
      <c r="A27" s="80">
        <v>35.205</v>
      </c>
      <c r="B27" s="9" t="s">
        <v>44</v>
      </c>
      <c r="C27" s="1" t="s">
        <v>53</v>
      </c>
      <c r="D27" s="1">
        <v>9</v>
      </c>
      <c r="E27" s="2" t="s">
        <v>47</v>
      </c>
      <c r="F27" s="11">
        <v>60</v>
      </c>
      <c r="G27" s="13">
        <v>76</v>
      </c>
      <c r="H27" s="43"/>
      <c r="I27" s="44"/>
      <c r="J27" s="2">
        <v>270</v>
      </c>
      <c r="K27" s="9">
        <v>78</v>
      </c>
      <c r="L27" s="9">
        <v>351</v>
      </c>
      <c r="M27" s="9">
        <v>0</v>
      </c>
      <c r="N27" s="9"/>
      <c r="O27" s="34"/>
      <c r="P27" s="29">
        <f t="shared" si="0"/>
        <v>0.15301599665117846</v>
      </c>
      <c r="Q27" s="29">
        <f t="shared" si="1"/>
        <v>0.9661049806258877</v>
      </c>
      <c r="R27" s="29">
        <f t="shared" si="2"/>
        <v>0.20535195289412214</v>
      </c>
      <c r="S27" s="10">
        <f t="shared" si="3"/>
        <v>80.99999999999999</v>
      </c>
      <c r="T27" s="10">
        <f t="shared" si="10"/>
        <v>11.856466652553731</v>
      </c>
      <c r="U27" s="18">
        <f t="shared" si="4"/>
        <v>261</v>
      </c>
      <c r="V27" s="10">
        <f t="shared" si="5"/>
        <v>171</v>
      </c>
      <c r="W27" s="19">
        <f t="shared" si="6"/>
        <v>78.14353334744627</v>
      </c>
      <c r="X27" s="35"/>
      <c r="Y27" s="37"/>
      <c r="Z27" s="22" t="s">
        <v>48</v>
      </c>
      <c r="AA27" s="2">
        <v>60</v>
      </c>
      <c r="AB27" s="9">
        <v>82</v>
      </c>
      <c r="AC27" s="26">
        <v>236.4</v>
      </c>
      <c r="AD27" s="27">
        <v>71.7</v>
      </c>
      <c r="AE27" s="18">
        <f t="shared" si="7"/>
        <v>24.599999999999994</v>
      </c>
      <c r="AF27" s="10">
        <f t="shared" si="8"/>
        <v>294.6</v>
      </c>
      <c r="AG27" s="10">
        <f t="shared" si="9"/>
        <v>78.14353334744627</v>
      </c>
      <c r="AH27" s="36"/>
      <c r="AI27" s="22" t="str">
        <f>Z27</f>
        <v>N</v>
      </c>
      <c r="AJ27" t="s">
        <v>54</v>
      </c>
    </row>
    <row r="28" spans="1:35" ht="12.75">
      <c r="A28" s="80">
        <v>35.55</v>
      </c>
      <c r="B28" s="9" t="s">
        <v>44</v>
      </c>
      <c r="C28" s="1" t="s">
        <v>55</v>
      </c>
      <c r="D28" s="1">
        <v>1</v>
      </c>
      <c r="E28" s="2" t="s">
        <v>46</v>
      </c>
      <c r="F28" s="11">
        <v>105</v>
      </c>
      <c r="G28" s="13">
        <v>106</v>
      </c>
      <c r="H28" s="43"/>
      <c r="I28" s="44"/>
      <c r="J28" s="2">
        <v>90</v>
      </c>
      <c r="K28" s="9">
        <v>4</v>
      </c>
      <c r="L28" s="9">
        <v>0</v>
      </c>
      <c r="M28" s="9">
        <v>3</v>
      </c>
      <c r="N28" s="9"/>
      <c r="O28" s="34"/>
      <c r="P28" s="29">
        <f t="shared" si="0"/>
        <v>0.05220846848393198</v>
      </c>
      <c r="Q28" s="29">
        <f t="shared" si="1"/>
        <v>0.06966087492121549</v>
      </c>
      <c r="R28" s="29">
        <f t="shared" si="2"/>
        <v>-0.9961969233988566</v>
      </c>
      <c r="S28" s="10">
        <f t="shared" si="3"/>
        <v>53.149682880599386</v>
      </c>
      <c r="T28" s="10">
        <f t="shared" si="10"/>
        <v>-85.00583060689412</v>
      </c>
      <c r="U28" s="18">
        <f t="shared" si="4"/>
        <v>53.149682880599386</v>
      </c>
      <c r="V28" s="10">
        <f t="shared" si="5"/>
        <v>323.14968288059936</v>
      </c>
      <c r="W28" s="19">
        <f t="shared" si="6"/>
        <v>4.994169393105878</v>
      </c>
      <c r="X28" s="35"/>
      <c r="Y28" s="37"/>
      <c r="Z28" s="22"/>
      <c r="AA28" s="2">
        <v>0</v>
      </c>
      <c r="AB28" s="9">
        <v>131</v>
      </c>
      <c r="AC28" s="26">
        <v>272.6</v>
      </c>
      <c r="AD28" s="27">
        <v>84.7</v>
      </c>
      <c r="AE28" s="18">
        <f t="shared" si="7"/>
        <v>140.54968288059936</v>
      </c>
      <c r="AF28" s="10">
        <f t="shared" si="8"/>
        <v>50.54968288059936</v>
      </c>
      <c r="AG28" s="10">
        <f t="shared" si="9"/>
        <v>4.994169393105878</v>
      </c>
      <c r="AH28" s="36"/>
      <c r="AI28" s="22"/>
    </row>
    <row r="29" spans="1:35" ht="12.75">
      <c r="A29" s="80">
        <v>36.185</v>
      </c>
      <c r="B29" s="9" t="s">
        <v>44</v>
      </c>
      <c r="C29" s="1" t="s">
        <v>55</v>
      </c>
      <c r="D29" s="1">
        <v>2</v>
      </c>
      <c r="E29" s="2" t="s">
        <v>46</v>
      </c>
      <c r="F29" s="11">
        <v>36</v>
      </c>
      <c r="G29" s="13">
        <v>37</v>
      </c>
      <c r="H29" s="43"/>
      <c r="I29" s="44"/>
      <c r="J29" s="2">
        <v>90</v>
      </c>
      <c r="K29" s="9">
        <v>7</v>
      </c>
      <c r="L29" s="9">
        <v>0</v>
      </c>
      <c r="M29" s="9">
        <v>4</v>
      </c>
      <c r="N29" s="9"/>
      <c r="O29" s="34"/>
      <c r="P29" s="29">
        <f t="shared" si="0"/>
        <v>0.06923651956680049</v>
      </c>
      <c r="Q29" s="29">
        <f t="shared" si="1"/>
        <v>0.12157247580974431</v>
      </c>
      <c r="R29" s="29">
        <f t="shared" si="2"/>
        <v>-0.9901283591011188</v>
      </c>
      <c r="S29" s="10">
        <f t="shared" si="3"/>
        <v>60.33813320852099</v>
      </c>
      <c r="T29" s="10">
        <f t="shared" si="10"/>
        <v>-81.95732666086839</v>
      </c>
      <c r="U29" s="18">
        <f t="shared" si="4"/>
        <v>60.33813320852099</v>
      </c>
      <c r="V29" s="10">
        <f t="shared" si="5"/>
        <v>330.338133208521</v>
      </c>
      <c r="W29" s="19">
        <f t="shared" si="6"/>
        <v>8.04267333913161</v>
      </c>
      <c r="X29" s="35"/>
      <c r="Y29" s="37"/>
      <c r="Z29" s="22"/>
      <c r="AA29" s="2">
        <v>0</v>
      </c>
      <c r="AB29" s="9">
        <v>140</v>
      </c>
      <c r="AC29" s="26">
        <v>94.5</v>
      </c>
      <c r="AD29" s="27">
        <v>-8.5</v>
      </c>
      <c r="AE29" s="18">
        <f t="shared" si="7"/>
        <v>145.838133208521</v>
      </c>
      <c r="AF29" s="10">
        <f t="shared" si="8"/>
        <v>55.838133208520986</v>
      </c>
      <c r="AG29" s="10">
        <f t="shared" si="9"/>
        <v>8.04267333913161</v>
      </c>
      <c r="AH29" s="36"/>
      <c r="AI29" s="22"/>
    </row>
    <row r="30" spans="1:35" ht="12.75">
      <c r="A30" s="80">
        <v>37.82</v>
      </c>
      <c r="B30" s="9" t="s">
        <v>44</v>
      </c>
      <c r="C30" s="1" t="s">
        <v>55</v>
      </c>
      <c r="D30" s="1">
        <v>3</v>
      </c>
      <c r="E30" s="2" t="s">
        <v>46</v>
      </c>
      <c r="F30" s="11">
        <v>59</v>
      </c>
      <c r="G30" s="13">
        <v>59</v>
      </c>
      <c r="H30" s="43"/>
      <c r="I30" s="44"/>
      <c r="J30" s="2">
        <v>90</v>
      </c>
      <c r="K30" s="9">
        <v>2</v>
      </c>
      <c r="L30" s="9">
        <v>0</v>
      </c>
      <c r="M30" s="9">
        <v>2</v>
      </c>
      <c r="N30" s="9"/>
      <c r="O30" s="34"/>
      <c r="P30" s="29">
        <f t="shared" si="0"/>
        <v>0.03487823687206265</v>
      </c>
      <c r="Q30" s="29">
        <f t="shared" si="1"/>
        <v>0.03487823687206265</v>
      </c>
      <c r="R30" s="29">
        <f t="shared" si="2"/>
        <v>-0.9987820251299122</v>
      </c>
      <c r="S30" s="10">
        <f t="shared" si="3"/>
        <v>45</v>
      </c>
      <c r="T30" s="10">
        <f t="shared" si="10"/>
        <v>-87.17272054092648</v>
      </c>
      <c r="U30" s="18">
        <f t="shared" si="4"/>
        <v>45</v>
      </c>
      <c r="V30" s="10">
        <f aca="true" t="shared" si="11" ref="V30:V35">IF(U30-90&lt;0,U30+270,U30-90)</f>
        <v>315</v>
      </c>
      <c r="W30" s="19">
        <f t="shared" si="6"/>
        <v>2.827279459073523</v>
      </c>
      <c r="X30" s="35"/>
      <c r="Y30" s="37"/>
      <c r="Z30" s="22"/>
      <c r="AA30" s="2">
        <v>0</v>
      </c>
      <c r="AB30" s="9">
        <v>149</v>
      </c>
      <c r="AC30" s="26">
        <v>178.9</v>
      </c>
      <c r="AD30" s="27">
        <v>-23.8</v>
      </c>
      <c r="AE30" s="18">
        <f t="shared" si="7"/>
        <v>46.099999999999994</v>
      </c>
      <c r="AF30" s="10">
        <f t="shared" si="8"/>
        <v>316.1</v>
      </c>
      <c r="AG30" s="10">
        <f t="shared" si="9"/>
        <v>2.827279459073523</v>
      </c>
      <c r="AH30" s="36"/>
      <c r="AI30" s="22"/>
    </row>
    <row r="31" spans="1:35" ht="12.75">
      <c r="A31" s="80">
        <v>42.21</v>
      </c>
      <c r="B31" s="9" t="s">
        <v>44</v>
      </c>
      <c r="C31" s="1" t="s">
        <v>55</v>
      </c>
      <c r="D31" s="1">
        <v>7</v>
      </c>
      <c r="E31" s="2" t="s">
        <v>47</v>
      </c>
      <c r="F31" s="11">
        <v>84</v>
      </c>
      <c r="G31" s="13">
        <v>94</v>
      </c>
      <c r="H31" s="43"/>
      <c r="I31" s="44"/>
      <c r="J31" s="2">
        <v>90</v>
      </c>
      <c r="K31" s="9">
        <v>59</v>
      </c>
      <c r="L31" s="9">
        <v>171</v>
      </c>
      <c r="M31" s="9">
        <v>0</v>
      </c>
      <c r="N31" s="9"/>
      <c r="O31" s="34"/>
      <c r="P31" s="29">
        <f t="shared" si="0"/>
        <v>-0.1340905081353137</v>
      </c>
      <c r="Q31" s="29">
        <f t="shared" si="1"/>
        <v>-0.8466141488428824</v>
      </c>
      <c r="R31" s="29">
        <f t="shared" si="2"/>
        <v>0.5086971015512258</v>
      </c>
      <c r="S31" s="10">
        <f t="shared" si="3"/>
        <v>261</v>
      </c>
      <c r="T31" s="10">
        <f t="shared" si="10"/>
        <v>30.6875644022028</v>
      </c>
      <c r="U31" s="18">
        <f t="shared" si="4"/>
        <v>81</v>
      </c>
      <c r="V31" s="10">
        <f t="shared" si="11"/>
        <v>351</v>
      </c>
      <c r="W31" s="19">
        <f t="shared" si="6"/>
        <v>59.312435597797204</v>
      </c>
      <c r="X31" s="35"/>
      <c r="Y31" s="37"/>
      <c r="Z31" s="22"/>
      <c r="AA31" s="2">
        <v>0</v>
      </c>
      <c r="AB31" s="9">
        <v>132</v>
      </c>
      <c r="AC31" s="26">
        <v>97</v>
      </c>
      <c r="AD31" s="27">
        <v>57.4</v>
      </c>
      <c r="AE31" s="18">
        <f>IF(AD31&gt;=0,IF(U31&gt;=AC31,U31-AC31,U31-AC31+360),IF((U31-AC31-180)&lt;0,IF(U31-AC31+180&lt;0,U31-AC31+540,U31-AC31+180),U31-AC31-180))</f>
        <v>344</v>
      </c>
      <c r="AF31" s="10">
        <f>IF(AE31-90&lt;0,AE31+270,AE31-90)</f>
        <v>254</v>
      </c>
      <c r="AG31" s="10">
        <f>W31</f>
        <v>59.312435597797204</v>
      </c>
      <c r="AH31" s="36"/>
      <c r="AI31" s="22"/>
    </row>
    <row r="32" spans="1:35" ht="12.75">
      <c r="A32" s="80">
        <v>43.295</v>
      </c>
      <c r="B32" s="9" t="s">
        <v>44</v>
      </c>
      <c r="C32" s="1" t="s">
        <v>55</v>
      </c>
      <c r="D32" s="1">
        <v>8</v>
      </c>
      <c r="E32" s="2" t="s">
        <v>46</v>
      </c>
      <c r="F32" s="11">
        <v>61</v>
      </c>
      <c r="G32" s="13">
        <v>61</v>
      </c>
      <c r="H32" s="43"/>
      <c r="I32" s="44"/>
      <c r="J32" s="2">
        <v>90</v>
      </c>
      <c r="K32" s="9">
        <v>0</v>
      </c>
      <c r="L32" s="9">
        <v>0</v>
      </c>
      <c r="M32" s="9">
        <v>0</v>
      </c>
      <c r="N32" s="9"/>
      <c r="O32" s="34"/>
      <c r="P32" s="29">
        <f t="shared" si="0"/>
        <v>0</v>
      </c>
      <c r="Q32" s="29">
        <f t="shared" si="1"/>
        <v>0</v>
      </c>
      <c r="R32" s="29">
        <f t="shared" si="2"/>
        <v>-1</v>
      </c>
      <c r="S32" s="10">
        <f t="shared" si="3"/>
        <v>90</v>
      </c>
      <c r="T32" s="10">
        <f t="shared" si="10"/>
        <v>-90</v>
      </c>
      <c r="U32" s="18">
        <f t="shared" si="4"/>
        <v>90</v>
      </c>
      <c r="V32" s="10">
        <f t="shared" si="11"/>
        <v>0</v>
      </c>
      <c r="W32" s="19">
        <f t="shared" si="6"/>
        <v>0</v>
      </c>
      <c r="X32" s="35"/>
      <c r="Y32" s="37"/>
      <c r="Z32" s="22"/>
      <c r="AA32" s="2">
        <v>0</v>
      </c>
      <c r="AB32" s="9">
        <v>131</v>
      </c>
      <c r="AC32" s="26">
        <v>102.5</v>
      </c>
      <c r="AD32" s="27">
        <v>-24.6</v>
      </c>
      <c r="AE32" s="18">
        <f>IF(AD32&gt;=0,IF(U32&gt;=AC32,U32-AC32,U32-AC32+360),IF((U32-AC32-180)&lt;0,IF(U32-AC32+180&lt;0,U32-AC32+540,U32-AC32+180),U32-AC32-180))</f>
        <v>167.5</v>
      </c>
      <c r="AF32" s="10">
        <f>IF(AE32-90&lt;0,AE32+270,AE32-90)</f>
        <v>77.5</v>
      </c>
      <c r="AG32" s="10">
        <f>W32</f>
        <v>0</v>
      </c>
      <c r="AH32" s="36"/>
      <c r="AI32" s="22"/>
    </row>
    <row r="33" spans="1:35" ht="12.75">
      <c r="A33" s="80">
        <v>43.725</v>
      </c>
      <c r="B33" s="9" t="s">
        <v>44</v>
      </c>
      <c r="C33" s="1" t="s">
        <v>55</v>
      </c>
      <c r="D33" s="1">
        <v>8</v>
      </c>
      <c r="E33" s="2" t="s">
        <v>46</v>
      </c>
      <c r="F33" s="11">
        <v>104</v>
      </c>
      <c r="G33" s="13">
        <v>105</v>
      </c>
      <c r="H33" s="43"/>
      <c r="I33" s="44"/>
      <c r="J33" s="2">
        <v>90</v>
      </c>
      <c r="K33" s="9">
        <v>7</v>
      </c>
      <c r="L33" s="9">
        <v>180</v>
      </c>
      <c r="M33" s="9">
        <v>7</v>
      </c>
      <c r="N33" s="9"/>
      <c r="O33" s="34"/>
      <c r="P33" s="29">
        <f t="shared" si="0"/>
        <v>0.12096094779983384</v>
      </c>
      <c r="Q33" s="29">
        <f t="shared" si="1"/>
        <v>-0.12096094779983387</v>
      </c>
      <c r="R33" s="29">
        <f t="shared" si="2"/>
        <v>0.9851478631379982</v>
      </c>
      <c r="S33" s="10">
        <f t="shared" si="3"/>
        <v>315</v>
      </c>
      <c r="T33" s="10">
        <f t="shared" si="10"/>
        <v>80.1491789724212</v>
      </c>
      <c r="U33" s="18">
        <f t="shared" si="4"/>
        <v>135</v>
      </c>
      <c r="V33" s="10">
        <f t="shared" si="11"/>
        <v>45</v>
      </c>
      <c r="W33" s="19">
        <f t="shared" si="6"/>
        <v>9.850821027578803</v>
      </c>
      <c r="X33" s="35"/>
      <c r="Y33" s="37"/>
      <c r="Z33" s="22"/>
      <c r="AA33" s="2">
        <v>0</v>
      </c>
      <c r="AB33" s="9">
        <v>131</v>
      </c>
      <c r="AC33" s="26">
        <v>148.6</v>
      </c>
      <c r="AD33" s="27">
        <v>-41.4</v>
      </c>
      <c r="AE33" s="18">
        <f>IF(AD33&gt;=0,IF(U33&gt;=AC33,U33-AC33,U33-AC33+360),IF((U33-AC33-180)&lt;0,IF(U33-AC33+180&lt;0,U33-AC33+540,U33-AC33+180),U33-AC33-180))</f>
        <v>166.4</v>
      </c>
      <c r="AF33" s="10">
        <f>IF(AE33-90&lt;0,AE33+270,AE33-90)</f>
        <v>76.4</v>
      </c>
      <c r="AG33" s="10">
        <f>W33</f>
        <v>9.850821027578803</v>
      </c>
      <c r="AH33" s="36"/>
      <c r="AI33" s="22"/>
    </row>
    <row r="34" spans="1:35" ht="12.75">
      <c r="A34" s="80">
        <v>44.665</v>
      </c>
      <c r="B34" s="9" t="s">
        <v>44</v>
      </c>
      <c r="C34" s="1" t="s">
        <v>55</v>
      </c>
      <c r="D34" s="1">
        <v>9</v>
      </c>
      <c r="E34" s="2" t="s">
        <v>46</v>
      </c>
      <c r="F34" s="11">
        <v>67</v>
      </c>
      <c r="G34" s="13">
        <v>67</v>
      </c>
      <c r="H34" s="43"/>
      <c r="I34" s="44"/>
      <c r="J34" s="2">
        <v>90</v>
      </c>
      <c r="K34" s="9">
        <v>0</v>
      </c>
      <c r="L34" s="9">
        <v>0</v>
      </c>
      <c r="M34" s="9">
        <v>0</v>
      </c>
      <c r="N34" s="9"/>
      <c r="O34" s="34"/>
      <c r="P34" s="29">
        <f t="shared" si="0"/>
        <v>0</v>
      </c>
      <c r="Q34" s="29">
        <f t="shared" si="1"/>
        <v>0</v>
      </c>
      <c r="R34" s="29">
        <f t="shared" si="2"/>
        <v>-1</v>
      </c>
      <c r="S34" s="10">
        <f t="shared" si="3"/>
        <v>90</v>
      </c>
      <c r="T34" s="10">
        <f t="shared" si="10"/>
        <v>-90</v>
      </c>
      <c r="U34" s="18">
        <f t="shared" si="4"/>
        <v>90</v>
      </c>
      <c r="V34" s="10">
        <f t="shared" si="11"/>
        <v>0</v>
      </c>
      <c r="W34" s="19">
        <f t="shared" si="6"/>
        <v>0</v>
      </c>
      <c r="X34" s="35"/>
      <c r="Y34" s="37"/>
      <c r="Z34" s="22"/>
      <c r="AA34" s="2">
        <v>0</v>
      </c>
      <c r="AB34" s="9">
        <v>77</v>
      </c>
      <c r="AC34" s="26">
        <v>146.4</v>
      </c>
      <c r="AD34" s="27">
        <v>-58.4</v>
      </c>
      <c r="AE34" s="18">
        <f>IF(AD34&gt;=0,IF(U34&gt;=AC34,U34-AC34,U34-AC34+360),IF((U34-AC34-180)&lt;0,IF(U34-AC34+180&lt;0,U34-AC34+540,U34-AC34+180),U34-AC34-180))</f>
        <v>123.6</v>
      </c>
      <c r="AF34" s="10">
        <f>IF(AE34-90&lt;0,AE34+270,AE34-90)</f>
        <v>33.599999999999994</v>
      </c>
      <c r="AG34" s="10">
        <f>W34</f>
        <v>0</v>
      </c>
      <c r="AH34" s="36"/>
      <c r="AI34" s="22"/>
    </row>
    <row r="35" spans="1:35" ht="12.75">
      <c r="A35" s="80">
        <v>45.1</v>
      </c>
      <c r="B35" s="9" t="s">
        <v>44</v>
      </c>
      <c r="C35" s="1" t="s">
        <v>57</v>
      </c>
      <c r="D35" s="1">
        <v>1</v>
      </c>
      <c r="E35" s="2" t="s">
        <v>46</v>
      </c>
      <c r="F35" s="11">
        <v>110</v>
      </c>
      <c r="G35" s="13">
        <v>111</v>
      </c>
      <c r="H35" s="43"/>
      <c r="I35" s="44"/>
      <c r="J35" s="2">
        <v>90</v>
      </c>
      <c r="K35" s="9">
        <v>5</v>
      </c>
      <c r="L35" s="9">
        <v>0</v>
      </c>
      <c r="M35" s="9">
        <v>2</v>
      </c>
      <c r="N35" s="9"/>
      <c r="O35" s="34"/>
      <c r="P35" s="29">
        <f t="shared" si="0"/>
        <v>0.03476669358110182</v>
      </c>
      <c r="Q35" s="29">
        <f t="shared" si="1"/>
        <v>0.08710264982404566</v>
      </c>
      <c r="R35" s="29">
        <f t="shared" si="2"/>
        <v>-0.995587843197948</v>
      </c>
      <c r="S35" s="10">
        <f t="shared" si="3"/>
        <v>68.24077352044239</v>
      </c>
      <c r="T35" s="10">
        <f t="shared" si="10"/>
        <v>-84.61859152100902</v>
      </c>
      <c r="U35" s="18">
        <f t="shared" si="4"/>
        <v>68.24077352044239</v>
      </c>
      <c r="V35" s="10">
        <f t="shared" si="11"/>
        <v>338.2407735204424</v>
      </c>
      <c r="W35" s="19">
        <f t="shared" si="6"/>
        <v>5.381408478990977</v>
      </c>
      <c r="X35" s="35"/>
      <c r="Y35" s="37"/>
      <c r="Z35" s="22"/>
      <c r="AA35" s="2">
        <v>0</v>
      </c>
      <c r="AB35" s="9">
        <v>133</v>
      </c>
      <c r="AC35" s="26">
        <v>359.7</v>
      </c>
      <c r="AD35" s="27">
        <v>65.7</v>
      </c>
      <c r="AE35" s="18">
        <f>IF(AD35&gt;=0,IF(U35&gt;=AC35,U35-AC35,U35-AC35+360),IF((U35-AC35-180)&lt;0,IF(U35-AC35+180&lt;0,U35-AC35+540,U35-AC35+180),U35-AC35-180))</f>
        <v>68.54077352044237</v>
      </c>
      <c r="AF35" s="10">
        <f>IF(AE35-90&lt;0,AE35+270,AE35-90)</f>
        <v>338.5407735204424</v>
      </c>
      <c r="AG35" s="10">
        <f>W35</f>
        <v>5.381408478990977</v>
      </c>
      <c r="AH35" s="36"/>
      <c r="AI35" s="22"/>
    </row>
    <row r="36" spans="1:35" ht="12.75">
      <c r="A36" s="80">
        <v>45.93</v>
      </c>
      <c r="B36" s="9" t="s">
        <v>44</v>
      </c>
      <c r="C36" s="1" t="s">
        <v>57</v>
      </c>
      <c r="D36" s="1">
        <v>2</v>
      </c>
      <c r="E36" s="2" t="s">
        <v>46</v>
      </c>
      <c r="F36" s="11">
        <v>60</v>
      </c>
      <c r="G36" s="13">
        <v>61</v>
      </c>
      <c r="H36" s="43"/>
      <c r="I36" s="44"/>
      <c r="J36" s="2">
        <v>90</v>
      </c>
      <c r="K36" s="9">
        <v>6</v>
      </c>
      <c r="L36" s="9">
        <v>180</v>
      </c>
      <c r="M36" s="9">
        <v>1</v>
      </c>
      <c r="N36" s="9"/>
      <c r="O36" s="34"/>
      <c r="P36" s="29">
        <f t="shared" si="0"/>
        <v>0.017356800328744638</v>
      </c>
      <c r="Q36" s="29">
        <f t="shared" si="1"/>
        <v>-0.10451254307640281</v>
      </c>
      <c r="R36" s="29">
        <f t="shared" si="2"/>
        <v>0.9943704248665338</v>
      </c>
      <c r="S36" s="10">
        <f t="shared" si="3"/>
        <v>279.42927109941905</v>
      </c>
      <c r="T36" s="10">
        <f t="shared" si="10"/>
        <v>83.91843294872983</v>
      </c>
      <c r="U36" s="18">
        <f t="shared" si="4"/>
        <v>99.42927109941905</v>
      </c>
      <c r="V36" s="10">
        <f aca="true" t="shared" si="12" ref="V36:V44">IF(U36-90&lt;0,U36+270,U36-90)</f>
        <v>9.429271099419054</v>
      </c>
      <c r="W36" s="19">
        <f t="shared" si="6"/>
        <v>6.08156705127017</v>
      </c>
      <c r="X36" s="35"/>
      <c r="Y36" s="37"/>
      <c r="Z36" s="22"/>
      <c r="AA36" s="2">
        <v>0</v>
      </c>
      <c r="AB36" s="9">
        <v>145</v>
      </c>
      <c r="AC36" s="26">
        <v>14.4</v>
      </c>
      <c r="AD36" s="27">
        <v>66.7</v>
      </c>
      <c r="AE36" s="18">
        <f aca="true" t="shared" si="13" ref="AE36:AE44">IF(AD36&gt;=0,IF(U36&gt;=AC36,U36-AC36,U36-AC36+360),IF((U36-AC36-180)&lt;0,IF(U36-AC36+180&lt;0,U36-AC36+540,U36-AC36+180),U36-AC36-180))</f>
        <v>85.02927109941905</v>
      </c>
      <c r="AF36" s="10">
        <f aca="true" t="shared" si="14" ref="AF36:AF44">IF(AE36-90&lt;0,AE36+270,AE36-90)</f>
        <v>355.029271099419</v>
      </c>
      <c r="AG36" s="10">
        <f aca="true" t="shared" si="15" ref="AG36:AG44">W36</f>
        <v>6.08156705127017</v>
      </c>
      <c r="AH36" s="36"/>
      <c r="AI36" s="22"/>
    </row>
    <row r="37" spans="1:35" ht="12.75">
      <c r="A37" s="80">
        <v>47.48</v>
      </c>
      <c r="B37" s="9" t="s">
        <v>44</v>
      </c>
      <c r="C37" s="1" t="s">
        <v>57</v>
      </c>
      <c r="D37" s="1">
        <v>3</v>
      </c>
      <c r="E37" s="2" t="s">
        <v>46</v>
      </c>
      <c r="F37" s="11">
        <v>72</v>
      </c>
      <c r="G37" s="13">
        <v>74</v>
      </c>
      <c r="H37" s="43"/>
      <c r="I37" s="44"/>
      <c r="J37" s="2">
        <v>90</v>
      </c>
      <c r="K37" s="9">
        <v>12</v>
      </c>
      <c r="L37" s="9">
        <v>0</v>
      </c>
      <c r="M37" s="9">
        <v>1</v>
      </c>
      <c r="N37" s="9"/>
      <c r="O37" s="34"/>
      <c r="P37" s="29">
        <f t="shared" si="0"/>
        <v>0.017071029483660093</v>
      </c>
      <c r="Q37" s="29">
        <f t="shared" si="1"/>
        <v>0.20788002486020488</v>
      </c>
      <c r="R37" s="29">
        <f t="shared" si="2"/>
        <v>-0.9779986241164497</v>
      </c>
      <c r="S37" s="10">
        <f t="shared" si="3"/>
        <v>85.305426045184</v>
      </c>
      <c r="T37" s="10">
        <f t="shared" si="10"/>
        <v>-77.96078282984092</v>
      </c>
      <c r="U37" s="18">
        <f t="shared" si="4"/>
        <v>85.305426045184</v>
      </c>
      <c r="V37" s="10">
        <f t="shared" si="12"/>
        <v>355.305426045184</v>
      </c>
      <c r="W37" s="19">
        <f t="shared" si="6"/>
        <v>12.039217170159077</v>
      </c>
      <c r="X37" s="35"/>
      <c r="Y37" s="37"/>
      <c r="Z37" s="22"/>
      <c r="AA37" s="2">
        <v>61</v>
      </c>
      <c r="AB37" s="9">
        <v>142</v>
      </c>
      <c r="AC37" s="26">
        <v>143.9</v>
      </c>
      <c r="AD37" s="27">
        <v>13.4</v>
      </c>
      <c r="AE37" s="18">
        <f t="shared" si="13"/>
        <v>301.405426045184</v>
      </c>
      <c r="AF37" s="10">
        <f t="shared" si="14"/>
        <v>211.40542604518402</v>
      </c>
      <c r="AG37" s="10">
        <f t="shared" si="15"/>
        <v>12.039217170159077</v>
      </c>
      <c r="AH37" s="36"/>
      <c r="AI37" s="22"/>
    </row>
    <row r="38" spans="1:35" ht="12.75">
      <c r="A38" s="80">
        <v>49.08</v>
      </c>
      <c r="B38" s="9" t="s">
        <v>44</v>
      </c>
      <c r="C38" s="1" t="s">
        <v>57</v>
      </c>
      <c r="D38" s="1">
        <v>4</v>
      </c>
      <c r="E38" s="2" t="s">
        <v>46</v>
      </c>
      <c r="F38" s="11">
        <v>90</v>
      </c>
      <c r="G38" s="13">
        <v>90</v>
      </c>
      <c r="H38" s="43"/>
      <c r="I38" s="44"/>
      <c r="J38" s="2">
        <v>90</v>
      </c>
      <c r="K38" s="9">
        <v>2</v>
      </c>
      <c r="L38" s="9">
        <v>180</v>
      </c>
      <c r="M38" s="9">
        <v>10</v>
      </c>
      <c r="N38" s="9"/>
      <c r="O38" s="34"/>
      <c r="P38" s="29">
        <f t="shared" si="0"/>
        <v>0.17354239588891238</v>
      </c>
      <c r="Q38" s="29">
        <f t="shared" si="1"/>
        <v>-0.03436929492884696</v>
      </c>
      <c r="R38" s="29">
        <f t="shared" si="2"/>
        <v>0.9842078347376879</v>
      </c>
      <c r="S38" s="10">
        <f t="shared" si="3"/>
        <v>348.79778400118875</v>
      </c>
      <c r="T38" s="10">
        <f t="shared" si="10"/>
        <v>79.80980839139355</v>
      </c>
      <c r="U38" s="18">
        <f t="shared" si="4"/>
        <v>168.79778400118875</v>
      </c>
      <c r="V38" s="10">
        <f t="shared" si="12"/>
        <v>78.79778400118875</v>
      </c>
      <c r="W38" s="19">
        <f t="shared" si="6"/>
        <v>10.190191608606455</v>
      </c>
      <c r="X38" s="35"/>
      <c r="Y38" s="37"/>
      <c r="Z38" s="22"/>
      <c r="AA38" s="2">
        <v>0</v>
      </c>
      <c r="AB38" s="9">
        <v>108</v>
      </c>
      <c r="AC38" s="26">
        <v>125.9</v>
      </c>
      <c r="AD38" s="27">
        <v>37.6</v>
      </c>
      <c r="AE38" s="18">
        <f t="shared" si="13"/>
        <v>42.89778400118874</v>
      </c>
      <c r="AF38" s="10">
        <f t="shared" si="14"/>
        <v>312.8977840011887</v>
      </c>
      <c r="AG38" s="10">
        <f t="shared" si="15"/>
        <v>10.190191608606455</v>
      </c>
      <c r="AH38" s="36"/>
      <c r="AI38" s="22"/>
    </row>
    <row r="39" spans="1:35" ht="12.75">
      <c r="A39" s="80">
        <v>50.025</v>
      </c>
      <c r="B39" s="9" t="s">
        <v>44</v>
      </c>
      <c r="C39" s="1" t="s">
        <v>57</v>
      </c>
      <c r="D39" s="1">
        <v>6</v>
      </c>
      <c r="E39" s="2" t="s">
        <v>46</v>
      </c>
      <c r="F39" s="11">
        <v>53</v>
      </c>
      <c r="G39" s="13">
        <v>54</v>
      </c>
      <c r="H39" s="43"/>
      <c r="I39" s="44"/>
      <c r="J39" s="2">
        <v>90</v>
      </c>
      <c r="K39" s="9">
        <v>5</v>
      </c>
      <c r="L39" s="9">
        <v>0</v>
      </c>
      <c r="M39" s="9">
        <v>4</v>
      </c>
      <c r="N39" s="9"/>
      <c r="O39" s="34"/>
      <c r="P39" s="29">
        <f t="shared" si="0"/>
        <v>0.06949102930147368</v>
      </c>
      <c r="Q39" s="29">
        <f t="shared" si="1"/>
        <v>0.08694343573875718</v>
      </c>
      <c r="R39" s="29">
        <f t="shared" si="2"/>
        <v>-0.9937680178757644</v>
      </c>
      <c r="S39" s="10">
        <f t="shared" si="3"/>
        <v>51.36580520133216</v>
      </c>
      <c r="T39" s="10">
        <f t="shared" si="10"/>
        <v>-83.60949830070751</v>
      </c>
      <c r="U39" s="18">
        <f t="shared" si="4"/>
        <v>51.36580520133216</v>
      </c>
      <c r="V39" s="10">
        <f t="shared" si="12"/>
        <v>321.36580520133214</v>
      </c>
      <c r="W39" s="19">
        <f t="shared" si="6"/>
        <v>6.390501699292486</v>
      </c>
      <c r="X39" s="35"/>
      <c r="Y39" s="37"/>
      <c r="Z39" s="22"/>
      <c r="AA39" s="2">
        <v>0</v>
      </c>
      <c r="AB39" s="9">
        <v>90</v>
      </c>
      <c r="AC39" s="26">
        <v>120.2</v>
      </c>
      <c r="AD39" s="27">
        <v>28.2</v>
      </c>
      <c r="AE39" s="18">
        <f t="shared" si="13"/>
        <v>291.16580520133215</v>
      </c>
      <c r="AF39" s="10">
        <f t="shared" si="14"/>
        <v>201.16580520133215</v>
      </c>
      <c r="AG39" s="10">
        <f t="shared" si="15"/>
        <v>6.390501699292486</v>
      </c>
      <c r="AH39" s="36"/>
      <c r="AI39" s="22"/>
    </row>
    <row r="40" spans="1:35" ht="12.75">
      <c r="A40" s="80">
        <v>52.23</v>
      </c>
      <c r="B40" s="9" t="s">
        <v>44</v>
      </c>
      <c r="C40" s="1" t="s">
        <v>57</v>
      </c>
      <c r="D40" s="1">
        <v>8</v>
      </c>
      <c r="E40" s="2" t="s">
        <v>46</v>
      </c>
      <c r="F40" s="11">
        <v>10</v>
      </c>
      <c r="G40" s="13">
        <v>11</v>
      </c>
      <c r="H40" s="43"/>
      <c r="I40" s="44"/>
      <c r="J40" s="2">
        <v>90</v>
      </c>
      <c r="K40" s="9">
        <v>3</v>
      </c>
      <c r="L40" s="9">
        <v>180</v>
      </c>
      <c r="M40" s="9">
        <v>6</v>
      </c>
      <c r="N40" s="9"/>
      <c r="O40" s="34"/>
      <c r="P40" s="29">
        <f t="shared" si="0"/>
        <v>0.10438521064158733</v>
      </c>
      <c r="Q40" s="29">
        <f t="shared" si="1"/>
        <v>-0.05204925439864352</v>
      </c>
      <c r="R40" s="29">
        <f t="shared" si="2"/>
        <v>0.9931589376748557</v>
      </c>
      <c r="S40" s="10">
        <f t="shared" si="3"/>
        <v>333.4979302640186</v>
      </c>
      <c r="T40" s="10">
        <f t="shared" si="10"/>
        <v>83.30154702070026</v>
      </c>
      <c r="U40" s="18">
        <f t="shared" si="4"/>
        <v>153.49793026401858</v>
      </c>
      <c r="V40" s="10">
        <f t="shared" si="12"/>
        <v>63.49793026401858</v>
      </c>
      <c r="W40" s="19">
        <f t="shared" si="6"/>
        <v>6.698452979299745</v>
      </c>
      <c r="X40" s="35"/>
      <c r="Y40" s="37"/>
      <c r="Z40" s="22"/>
      <c r="AA40" s="2">
        <v>0</v>
      </c>
      <c r="AB40" s="9">
        <v>131</v>
      </c>
      <c r="AC40" s="26">
        <v>162</v>
      </c>
      <c r="AD40" s="27">
        <v>-11.6</v>
      </c>
      <c r="AE40" s="18">
        <f t="shared" si="13"/>
        <v>171.49793026401858</v>
      </c>
      <c r="AF40" s="10">
        <f t="shared" si="14"/>
        <v>81.49793026401858</v>
      </c>
      <c r="AG40" s="10">
        <f t="shared" si="15"/>
        <v>6.698452979299745</v>
      </c>
      <c r="AH40" s="36"/>
      <c r="AI40" s="22"/>
    </row>
    <row r="41" spans="1:35" ht="12.75">
      <c r="A41" s="80">
        <v>54.025</v>
      </c>
      <c r="B41" s="9" t="s">
        <v>44</v>
      </c>
      <c r="C41" s="1" t="s">
        <v>57</v>
      </c>
      <c r="D41" s="1">
        <v>9</v>
      </c>
      <c r="E41" s="2" t="s">
        <v>46</v>
      </c>
      <c r="F41" s="11">
        <v>59</v>
      </c>
      <c r="G41" s="13">
        <v>59</v>
      </c>
      <c r="H41" s="43"/>
      <c r="I41" s="44"/>
      <c r="J41" s="2">
        <v>90</v>
      </c>
      <c r="K41" s="9">
        <v>2</v>
      </c>
      <c r="L41" s="9">
        <v>180</v>
      </c>
      <c r="M41" s="9">
        <v>5</v>
      </c>
      <c r="N41" s="9"/>
      <c r="O41" s="34"/>
      <c r="P41" s="29">
        <f t="shared" si="0"/>
        <v>0.08710264982404566</v>
      </c>
      <c r="Q41" s="29">
        <f t="shared" si="1"/>
        <v>-0.03476669358110183</v>
      </c>
      <c r="R41" s="29">
        <f t="shared" si="2"/>
        <v>0.995587843197948</v>
      </c>
      <c r="S41" s="10">
        <f t="shared" si="3"/>
        <v>338.2407735204424</v>
      </c>
      <c r="T41" s="10">
        <f t="shared" si="10"/>
        <v>84.61859152100902</v>
      </c>
      <c r="U41" s="18">
        <f t="shared" si="4"/>
        <v>158.24077352044242</v>
      </c>
      <c r="V41" s="10">
        <f t="shared" si="12"/>
        <v>68.24077352044242</v>
      </c>
      <c r="W41" s="19">
        <f t="shared" si="6"/>
        <v>5.381408478990977</v>
      </c>
      <c r="X41" s="35"/>
      <c r="Y41" s="37"/>
      <c r="Z41" s="22"/>
      <c r="AA41" s="2">
        <v>0</v>
      </c>
      <c r="AB41" s="9">
        <v>76</v>
      </c>
      <c r="AC41" s="26">
        <v>147.3</v>
      </c>
      <c r="AD41" s="27">
        <v>-22.5</v>
      </c>
      <c r="AE41" s="18">
        <f t="shared" si="13"/>
        <v>190.9407735204424</v>
      </c>
      <c r="AF41" s="10">
        <f t="shared" si="14"/>
        <v>100.9407735204424</v>
      </c>
      <c r="AG41" s="10">
        <f t="shared" si="15"/>
        <v>5.381408478990977</v>
      </c>
      <c r="AH41" s="36"/>
      <c r="AI41" s="22"/>
    </row>
    <row r="42" spans="1:35" ht="12.75">
      <c r="A42" s="80">
        <v>53.86</v>
      </c>
      <c r="B42" s="9" t="s">
        <v>44</v>
      </c>
      <c r="C42" s="1" t="s">
        <v>58</v>
      </c>
      <c r="D42" s="1">
        <v>1</v>
      </c>
      <c r="E42" s="2" t="s">
        <v>46</v>
      </c>
      <c r="F42" s="11">
        <v>36</v>
      </c>
      <c r="G42" s="13">
        <v>36</v>
      </c>
      <c r="H42" s="43"/>
      <c r="I42" s="44"/>
      <c r="J42" s="2">
        <v>90</v>
      </c>
      <c r="K42" s="9">
        <v>17</v>
      </c>
      <c r="L42" s="9">
        <v>0</v>
      </c>
      <c r="M42" s="9">
        <v>2</v>
      </c>
      <c r="N42" s="9"/>
      <c r="O42" s="34"/>
      <c r="P42" s="29">
        <f aca="true" t="shared" si="16" ref="P42:P47">COS(K42*PI()/180)*SIN(J42*PI()/180)*(SIN(M42*PI()/180))-(COS(M42*PI()/180)*SIN(L42*PI()/180))*(SIN(K42*PI()/180))</f>
        <v>0.03337455467731795</v>
      </c>
      <c r="Q42" s="29">
        <f aca="true" t="shared" si="17" ref="Q42:Q47">(SIN(K42*PI()/180))*(COS(M42*PI()/180)*COS(L42*PI()/180))-(SIN(M42*PI()/180))*(COS(K42*PI()/180)*COS(J42*PI()/180))</f>
        <v>0.2921935997798388</v>
      </c>
      <c r="R42" s="29">
        <f aca="true" t="shared" si="18" ref="R42:R47">(COS(K42*PI()/180)*COS(J42*PI()/180))*(COS(M42*PI()/180)*SIN(L42*PI()/180))-(COS(K42*PI()/180)*SIN(J42*PI()/180))*(COS(M42*PI()/180)*COS(L42*PI()/180))</f>
        <v>-0.9557222009441926</v>
      </c>
      <c r="S42" s="10">
        <f aca="true" t="shared" si="19" ref="S42:S47">IF(P42=0,IF(Q42&gt;=0,90,270),IF(P42&gt;0,IF(Q42&gt;=0,ATAN(Q42/P42)*180/PI(),ATAN(Q42/P42)*180/PI()+360),ATAN(Q42/P42)*180/PI()+180))</f>
        <v>83.48387583995762</v>
      </c>
      <c r="T42" s="10">
        <f t="shared" si="10"/>
        <v>-72.89589719062229</v>
      </c>
      <c r="U42" s="18">
        <f aca="true" t="shared" si="20" ref="U42:U47">IF(R42&lt;0,S42,IF(S42+180&gt;=360,S42-180,S42+180))</f>
        <v>83.48387583995762</v>
      </c>
      <c r="V42" s="10">
        <f t="shared" si="12"/>
        <v>353.4838758399576</v>
      </c>
      <c r="W42" s="19">
        <f aca="true" t="shared" si="21" ref="W42:W47">IF(R42&lt;0,90+T42,90-T42)</f>
        <v>17.104102809377707</v>
      </c>
      <c r="X42" s="35"/>
      <c r="Y42" s="37"/>
      <c r="Z42" s="22"/>
      <c r="AA42" s="2">
        <v>0</v>
      </c>
      <c r="AB42" s="9">
        <v>130</v>
      </c>
      <c r="AC42" s="26">
        <v>175.8</v>
      </c>
      <c r="AD42" s="27">
        <v>-22.4</v>
      </c>
      <c r="AE42" s="18">
        <f t="shared" si="13"/>
        <v>87.68387583995761</v>
      </c>
      <c r="AF42" s="10">
        <f t="shared" si="14"/>
        <v>357.68387583995764</v>
      </c>
      <c r="AG42" s="10">
        <f t="shared" si="15"/>
        <v>17.104102809377707</v>
      </c>
      <c r="AH42" s="36"/>
      <c r="AI42" s="22"/>
    </row>
    <row r="43" spans="1:35" ht="12.75">
      <c r="A43" s="80">
        <v>53.96</v>
      </c>
      <c r="B43" s="9" t="s">
        <v>44</v>
      </c>
      <c r="C43" s="1" t="s">
        <v>58</v>
      </c>
      <c r="D43" s="1">
        <v>1</v>
      </c>
      <c r="E43" s="2" t="s">
        <v>46</v>
      </c>
      <c r="F43" s="11">
        <v>46</v>
      </c>
      <c r="G43" s="13">
        <v>47</v>
      </c>
      <c r="H43" s="43"/>
      <c r="I43" s="44"/>
      <c r="J43" s="2">
        <v>90</v>
      </c>
      <c r="K43" s="9">
        <v>16</v>
      </c>
      <c r="L43" s="9">
        <v>0</v>
      </c>
      <c r="M43" s="9">
        <v>2</v>
      </c>
      <c r="N43" s="9"/>
      <c r="O43" s="34"/>
      <c r="P43" s="29">
        <f t="shared" si="16"/>
        <v>0.03354754938763985</v>
      </c>
      <c r="Q43" s="29">
        <f t="shared" si="17"/>
        <v>0.2754694449873076</v>
      </c>
      <c r="R43" s="29">
        <f t="shared" si="18"/>
        <v>-0.9606761212855751</v>
      </c>
      <c r="S43" s="10">
        <f t="shared" si="19"/>
        <v>83.05652868996982</v>
      </c>
      <c r="T43" s="10">
        <f t="shared" si="10"/>
        <v>-73.88790108085979</v>
      </c>
      <c r="U43" s="18">
        <f t="shared" si="20"/>
        <v>83.05652868996982</v>
      </c>
      <c r="V43" s="10">
        <f t="shared" si="12"/>
        <v>353.0565286899698</v>
      </c>
      <c r="W43" s="19">
        <f t="shared" si="21"/>
        <v>16.11209891914021</v>
      </c>
      <c r="X43" s="35"/>
      <c r="Y43" s="37"/>
      <c r="Z43" s="22"/>
      <c r="AA43" s="2">
        <v>0</v>
      </c>
      <c r="AB43" s="9">
        <v>130</v>
      </c>
      <c r="AC43" s="26"/>
      <c r="AD43" s="27"/>
      <c r="AE43" s="18">
        <f t="shared" si="13"/>
        <v>83.05652868996982</v>
      </c>
      <c r="AF43" s="10">
        <f t="shared" si="14"/>
        <v>353.0565286899698</v>
      </c>
      <c r="AG43" s="10">
        <f t="shared" si="15"/>
        <v>16.11209891914021</v>
      </c>
      <c r="AH43" s="36"/>
      <c r="AI43" s="22"/>
    </row>
    <row r="44" spans="1:35" ht="12.75">
      <c r="A44" s="80">
        <v>54.1</v>
      </c>
      <c r="B44" s="9" t="s">
        <v>44</v>
      </c>
      <c r="C44" s="1" t="s">
        <v>58</v>
      </c>
      <c r="D44" s="1">
        <v>1</v>
      </c>
      <c r="E44" s="2" t="s">
        <v>46</v>
      </c>
      <c r="F44" s="11">
        <v>60</v>
      </c>
      <c r="G44" s="13">
        <v>61</v>
      </c>
      <c r="H44" s="43"/>
      <c r="I44" s="44"/>
      <c r="J44" s="2">
        <v>90</v>
      </c>
      <c r="K44" s="9">
        <v>10</v>
      </c>
      <c r="L44" s="9">
        <v>0</v>
      </c>
      <c r="M44" s="9">
        <v>1</v>
      </c>
      <c r="N44" s="9"/>
      <c r="O44" s="34"/>
      <c r="P44" s="29">
        <f t="shared" si="16"/>
        <v>0.01718726516815697</v>
      </c>
      <c r="Q44" s="29">
        <f t="shared" si="17"/>
        <v>0.17362173020838784</v>
      </c>
      <c r="R44" s="29">
        <f t="shared" si="18"/>
        <v>-0.9846577620214009</v>
      </c>
      <c r="S44" s="10">
        <f t="shared" si="19"/>
        <v>84.34656126157918</v>
      </c>
      <c r="T44" s="10">
        <f t="shared" si="10"/>
        <v>-79.95211543642638</v>
      </c>
      <c r="U44" s="18">
        <f t="shared" si="20"/>
        <v>84.34656126157918</v>
      </c>
      <c r="V44" s="10">
        <f t="shared" si="12"/>
        <v>354.34656126157915</v>
      </c>
      <c r="W44" s="19">
        <f t="shared" si="21"/>
        <v>10.047884563573618</v>
      </c>
      <c r="X44" s="35"/>
      <c r="Y44" s="37"/>
      <c r="Z44" s="22"/>
      <c r="AA44" s="2">
        <v>0</v>
      </c>
      <c r="AB44" s="9">
        <v>130</v>
      </c>
      <c r="AC44" s="26">
        <v>160.6</v>
      </c>
      <c r="AD44" s="27">
        <v>22.4</v>
      </c>
      <c r="AE44" s="18">
        <f t="shared" si="13"/>
        <v>283.7465612615792</v>
      </c>
      <c r="AF44" s="10">
        <f t="shared" si="14"/>
        <v>193.7465612615792</v>
      </c>
      <c r="AG44" s="10">
        <f t="shared" si="15"/>
        <v>10.047884563573618</v>
      </c>
      <c r="AH44" s="36"/>
      <c r="AI44" s="22"/>
    </row>
    <row r="45" spans="1:35" ht="12.75">
      <c r="A45" s="80">
        <v>54.445</v>
      </c>
      <c r="B45" s="9" t="s">
        <v>44</v>
      </c>
      <c r="C45" s="1" t="s">
        <v>58</v>
      </c>
      <c r="D45" s="1">
        <v>1</v>
      </c>
      <c r="E45" s="2" t="s">
        <v>46</v>
      </c>
      <c r="F45" s="11">
        <v>94.5</v>
      </c>
      <c r="G45" s="13">
        <v>94.5</v>
      </c>
      <c r="H45" s="43"/>
      <c r="I45" s="44"/>
      <c r="J45" s="2">
        <v>270</v>
      </c>
      <c r="K45" s="9">
        <v>0</v>
      </c>
      <c r="L45" s="9">
        <v>0</v>
      </c>
      <c r="M45" s="9">
        <v>10</v>
      </c>
      <c r="N45" s="9"/>
      <c r="O45" s="34"/>
      <c r="P45" s="29">
        <f t="shared" si="16"/>
        <v>-0.17364817766693033</v>
      </c>
      <c r="Q45" s="29">
        <f t="shared" si="17"/>
        <v>3.1898652743636566E-17</v>
      </c>
      <c r="R45" s="29">
        <f t="shared" si="18"/>
        <v>0.984807753012208</v>
      </c>
      <c r="S45" s="10">
        <f t="shared" si="19"/>
        <v>180</v>
      </c>
      <c r="T45" s="10">
        <f t="shared" si="10"/>
        <v>80.00000000000003</v>
      </c>
      <c r="U45" s="18">
        <f t="shared" si="20"/>
        <v>0</v>
      </c>
      <c r="V45" s="10">
        <f aca="true" t="shared" si="22" ref="V45:V171">IF(U45-90&lt;0,U45+270,U45-90)</f>
        <v>270</v>
      </c>
      <c r="W45" s="19">
        <f t="shared" si="21"/>
        <v>9.999999999999972</v>
      </c>
      <c r="X45" s="35"/>
      <c r="Y45" s="37"/>
      <c r="Z45" s="22"/>
      <c r="AA45" s="2">
        <v>0</v>
      </c>
      <c r="AB45" s="9">
        <v>130</v>
      </c>
      <c r="AC45" s="26">
        <v>176</v>
      </c>
      <c r="AD45" s="27">
        <v>32.2</v>
      </c>
      <c r="AE45" s="18">
        <f>IF(AD45&gt;=0,IF(U45&gt;=AC45,U45-AC45,U45-AC45+360),IF((U45-AC45-180)&lt;0,IF(U45-AC45+180&lt;0,U45-AC45+540,U45-AC45+180),U45-AC45-180))</f>
        <v>184</v>
      </c>
      <c r="AF45" s="10">
        <f>IF(AE45-90&lt;0,AE45+270,AE45-90)</f>
        <v>94</v>
      </c>
      <c r="AG45" s="10">
        <f>W45</f>
        <v>9.999999999999972</v>
      </c>
      <c r="AH45" s="36"/>
      <c r="AI45" s="22"/>
    </row>
    <row r="46" spans="1:35" ht="12.75">
      <c r="A46" s="80">
        <v>54.66</v>
      </c>
      <c r="B46" s="9" t="s">
        <v>44</v>
      </c>
      <c r="C46" s="1" t="s">
        <v>58</v>
      </c>
      <c r="D46" s="1">
        <v>1</v>
      </c>
      <c r="E46" s="2" t="s">
        <v>46</v>
      </c>
      <c r="F46" s="11">
        <v>116</v>
      </c>
      <c r="G46" s="13">
        <v>117</v>
      </c>
      <c r="H46" s="43"/>
      <c r="I46" s="44"/>
      <c r="J46" s="2">
        <v>90</v>
      </c>
      <c r="K46" s="9">
        <v>5</v>
      </c>
      <c r="L46" s="9">
        <v>0</v>
      </c>
      <c r="M46" s="9">
        <v>9</v>
      </c>
      <c r="N46" s="9"/>
      <c r="O46" s="34"/>
      <c r="P46" s="29">
        <f t="shared" si="16"/>
        <v>0.1558391846718965</v>
      </c>
      <c r="Q46" s="29">
        <f t="shared" si="17"/>
        <v>0.0860827109277712</v>
      </c>
      <c r="R46" s="29">
        <f t="shared" si="18"/>
        <v>-0.9839298882679104</v>
      </c>
      <c r="S46" s="10">
        <f t="shared" si="19"/>
        <v>28.915456365919972</v>
      </c>
      <c r="T46" s="10">
        <f t="shared" si="10"/>
        <v>-79.74377297772563</v>
      </c>
      <c r="U46" s="18">
        <f t="shared" si="20"/>
        <v>28.915456365919972</v>
      </c>
      <c r="V46" s="10">
        <f t="shared" si="22"/>
        <v>298.91545636591997</v>
      </c>
      <c r="W46" s="19">
        <f t="shared" si="21"/>
        <v>10.256227022274373</v>
      </c>
      <c r="X46" s="35"/>
      <c r="Y46" s="37"/>
      <c r="Z46" s="22"/>
      <c r="AA46" s="2">
        <v>0</v>
      </c>
      <c r="AB46" s="9">
        <v>130</v>
      </c>
      <c r="AC46" s="26">
        <v>165.6</v>
      </c>
      <c r="AD46" s="27">
        <v>9.6</v>
      </c>
      <c r="AE46" s="18">
        <f>IF(AD46&gt;=0,IF(U46&gt;=AC46,U46-AC46,U46-AC46+360),IF((U46-AC46-180)&lt;0,IF(U46-AC46+180&lt;0,U46-AC46+540,U46-AC46+180),U46-AC46-180))</f>
        <v>223.31545636591997</v>
      </c>
      <c r="AF46" s="10">
        <f>IF(AE46-90&lt;0,AE46+270,AE46-90)</f>
        <v>133.31545636591997</v>
      </c>
      <c r="AG46" s="10">
        <f>W46</f>
        <v>10.256227022274373</v>
      </c>
      <c r="AH46" s="36"/>
      <c r="AI46" s="22"/>
    </row>
    <row r="47" spans="1:35" ht="12.75">
      <c r="A47" s="80">
        <v>55.515</v>
      </c>
      <c r="B47" s="9" t="s">
        <v>44</v>
      </c>
      <c r="C47" s="1" t="s">
        <v>58</v>
      </c>
      <c r="D47" s="1">
        <v>2</v>
      </c>
      <c r="E47" s="2" t="s">
        <v>46</v>
      </c>
      <c r="F47" s="11">
        <v>70</v>
      </c>
      <c r="G47" s="13">
        <v>70</v>
      </c>
      <c r="H47" s="43"/>
      <c r="I47" s="44"/>
      <c r="J47" s="2">
        <v>90</v>
      </c>
      <c r="K47" s="9">
        <v>4</v>
      </c>
      <c r="L47" s="9">
        <v>0</v>
      </c>
      <c r="M47" s="9">
        <v>1</v>
      </c>
      <c r="N47" s="9"/>
      <c r="O47" s="34"/>
      <c r="P47" s="29">
        <f t="shared" si="16"/>
        <v>0.01740989325235717</v>
      </c>
      <c r="Q47" s="29">
        <f t="shared" si="17"/>
        <v>0.06974584949530101</v>
      </c>
      <c r="R47" s="29">
        <f t="shared" si="18"/>
        <v>-0.9974121164231596</v>
      </c>
      <c r="S47" s="10">
        <f t="shared" si="19"/>
        <v>75.98430083594647</v>
      </c>
      <c r="T47" s="10">
        <f t="shared" si="10"/>
        <v>-85.87768053918494</v>
      </c>
      <c r="U47" s="18">
        <f t="shared" si="20"/>
        <v>75.98430083594647</v>
      </c>
      <c r="V47" s="10">
        <f t="shared" si="22"/>
        <v>345.98430083594644</v>
      </c>
      <c r="W47" s="19">
        <f t="shared" si="21"/>
        <v>4.1223194608150635</v>
      </c>
      <c r="X47" s="35"/>
      <c r="Y47" s="37"/>
      <c r="Z47" s="22"/>
      <c r="AA47" s="2">
        <v>58</v>
      </c>
      <c r="AB47" s="9">
        <v>136</v>
      </c>
      <c r="AC47" s="26">
        <v>159.6</v>
      </c>
      <c r="AD47" s="27">
        <v>59.1</v>
      </c>
      <c r="AE47" s="18">
        <f>IF(AD47&gt;=0,IF(U47&gt;=AC47,U47-AC47,U47-AC47+360),IF((U47-AC47-180)&lt;0,IF(U47-AC47+180&lt;0,U47-AC47+540,U47-AC47+180),U47-AC47-180))</f>
        <v>276.3843008359465</v>
      </c>
      <c r="AF47" s="10">
        <f>IF(AE47-90&lt;0,AE47+270,AE47-90)</f>
        <v>186.38430083594648</v>
      </c>
      <c r="AG47" s="10">
        <f>W47</f>
        <v>4.1223194608150635</v>
      </c>
      <c r="AH47" s="36"/>
      <c r="AI47" s="22"/>
    </row>
    <row r="48" spans="1:35" ht="12.75">
      <c r="A48" s="80">
        <v>56.555</v>
      </c>
      <c r="B48" s="9" t="s">
        <v>44</v>
      </c>
      <c r="C48" s="1" t="s">
        <v>58</v>
      </c>
      <c r="D48" s="1">
        <v>3</v>
      </c>
      <c r="E48" s="2" t="s">
        <v>46</v>
      </c>
      <c r="F48" s="11">
        <v>38</v>
      </c>
      <c r="G48" s="13">
        <v>39</v>
      </c>
      <c r="H48" s="43"/>
      <c r="I48" s="44"/>
      <c r="J48" s="2">
        <v>90</v>
      </c>
      <c r="K48" s="9">
        <v>6</v>
      </c>
      <c r="L48" s="9">
        <v>0</v>
      </c>
      <c r="M48" s="9">
        <v>1</v>
      </c>
      <c r="N48" s="9"/>
      <c r="O48" s="34"/>
      <c r="P48" s="29">
        <f aca="true" t="shared" si="23" ref="P48:P62">COS(K48*PI()/180)*SIN(J48*PI()/180)*(SIN(M48*PI()/180))-(COS(M48*PI()/180)*SIN(L48*PI()/180))*(SIN(K48*PI()/180))</f>
        <v>0.01735680032874465</v>
      </c>
      <c r="Q48" s="29">
        <f aca="true" t="shared" si="24" ref="Q48:Q62">(SIN(K48*PI()/180))*(COS(M48*PI()/180)*COS(L48*PI()/180))-(SIN(M48*PI()/180))*(COS(K48*PI()/180)*COS(J48*PI()/180))</f>
        <v>0.10451254307640281</v>
      </c>
      <c r="R48" s="29">
        <f aca="true" t="shared" si="25" ref="R48:R62">(COS(K48*PI()/180)*COS(J48*PI()/180))*(COS(M48*PI()/180)*SIN(L48*PI()/180))-(COS(K48*PI()/180)*SIN(J48*PI()/180))*(COS(M48*PI()/180)*COS(L48*PI()/180))</f>
        <v>-0.9943704248665338</v>
      </c>
      <c r="S48" s="10">
        <f aca="true" t="shared" si="26" ref="S48:S62">IF(P48=0,IF(Q48&gt;=0,90,270),IF(P48&gt;0,IF(Q48&gt;=0,ATAN(Q48/P48)*180/PI(),ATAN(Q48/P48)*180/PI()+360),ATAN(Q48/P48)*180/PI()+180))</f>
        <v>80.57072890058093</v>
      </c>
      <c r="T48" s="10">
        <f t="shared" si="10"/>
        <v>-83.91843294872977</v>
      </c>
      <c r="U48" s="18">
        <f aca="true" t="shared" si="27" ref="U48:U62">IF(R48&lt;0,S48,IF(S48+180&gt;=360,S48-180,S48+180))</f>
        <v>80.57072890058093</v>
      </c>
      <c r="V48" s="10">
        <f t="shared" si="22"/>
        <v>350.57072890058095</v>
      </c>
      <c r="W48" s="19">
        <f aca="true" t="shared" si="28" ref="W48:W62">IF(R48&lt;0,90+T48,90-T48)</f>
        <v>6.081567051270227</v>
      </c>
      <c r="X48" s="35"/>
      <c r="Y48" s="37"/>
      <c r="Z48" s="22"/>
      <c r="AA48" s="2">
        <v>30</v>
      </c>
      <c r="AB48" s="9">
        <v>131</v>
      </c>
      <c r="AC48" s="26">
        <v>205.2</v>
      </c>
      <c r="AD48" s="27">
        <v>64.4</v>
      </c>
      <c r="AE48" s="18">
        <f aca="true" t="shared" si="29" ref="AE48:AE62">IF(AD48&gt;=0,IF(U48&gt;=AC48,U48-AC48,U48-AC48+360),IF((U48-AC48-180)&lt;0,IF(U48-AC48+180&lt;0,U48-AC48+540,U48-AC48+180),U48-AC48-180))</f>
        <v>235.37072890058096</v>
      </c>
      <c r="AF48" s="10">
        <f aca="true" t="shared" si="30" ref="AF48:AF167">IF(AE48-90&lt;0,AE48+270,AE48-90)</f>
        <v>145.37072890058096</v>
      </c>
      <c r="AG48" s="10">
        <f aca="true" t="shared" si="31" ref="AG48:AG62">W48</f>
        <v>6.081567051270227</v>
      </c>
      <c r="AH48" s="36"/>
      <c r="AI48" s="22"/>
    </row>
    <row r="49" spans="1:35" ht="12.75">
      <c r="A49" s="80">
        <v>56.785</v>
      </c>
      <c r="B49" s="9" t="s">
        <v>44</v>
      </c>
      <c r="C49" s="1" t="s">
        <v>58</v>
      </c>
      <c r="D49" s="1">
        <v>3</v>
      </c>
      <c r="E49" s="2" t="s">
        <v>46</v>
      </c>
      <c r="F49" s="11">
        <v>61</v>
      </c>
      <c r="G49" s="13">
        <v>62</v>
      </c>
      <c r="H49" s="43"/>
      <c r="I49" s="44"/>
      <c r="J49" s="2">
        <v>90</v>
      </c>
      <c r="K49" s="9">
        <v>9</v>
      </c>
      <c r="L49" s="9">
        <v>180</v>
      </c>
      <c r="M49" s="9">
        <v>2</v>
      </c>
      <c r="N49" s="9"/>
      <c r="O49" s="34"/>
      <c r="P49" s="29">
        <f t="shared" si="23"/>
        <v>0.03446982598569864</v>
      </c>
      <c r="Q49" s="29">
        <f t="shared" si="24"/>
        <v>-0.15633916939084616</v>
      </c>
      <c r="R49" s="29">
        <f t="shared" si="25"/>
        <v>0.987086667544493</v>
      </c>
      <c r="S49" s="10">
        <f t="shared" si="26"/>
        <v>282.4337062005511</v>
      </c>
      <c r="T49" s="10">
        <f t="shared" si="10"/>
        <v>80.78750626027323</v>
      </c>
      <c r="U49" s="18">
        <f t="shared" si="27"/>
        <v>102.43370620055111</v>
      </c>
      <c r="V49" s="10">
        <f t="shared" si="22"/>
        <v>12.433706200551114</v>
      </c>
      <c r="W49" s="19">
        <f t="shared" si="28"/>
        <v>9.212493739726767</v>
      </c>
      <c r="X49" s="35"/>
      <c r="Y49" s="37"/>
      <c r="Z49" s="22"/>
      <c r="AA49" s="2">
        <v>30</v>
      </c>
      <c r="AB49" s="9">
        <v>131</v>
      </c>
      <c r="AC49" s="26">
        <v>144.2</v>
      </c>
      <c r="AD49" s="27">
        <v>66.9</v>
      </c>
      <c r="AE49" s="18">
        <f t="shared" si="29"/>
        <v>318.2337062005511</v>
      </c>
      <c r="AF49" s="10">
        <f t="shared" si="30"/>
        <v>228.23370620055113</v>
      </c>
      <c r="AG49" s="10">
        <f t="shared" si="31"/>
        <v>9.212493739726767</v>
      </c>
      <c r="AH49" s="36"/>
      <c r="AI49" s="22"/>
    </row>
    <row r="50" spans="1:35" ht="12.75">
      <c r="A50" s="80">
        <v>56.935</v>
      </c>
      <c r="B50" s="9" t="s">
        <v>44</v>
      </c>
      <c r="C50" s="1" t="s">
        <v>58</v>
      </c>
      <c r="D50" s="1">
        <v>3</v>
      </c>
      <c r="E50" s="2" t="s">
        <v>46</v>
      </c>
      <c r="F50" s="11">
        <v>76</v>
      </c>
      <c r="G50" s="13">
        <v>77</v>
      </c>
      <c r="H50" s="43"/>
      <c r="I50" s="44"/>
      <c r="J50" s="2">
        <v>90</v>
      </c>
      <c r="K50" s="9">
        <v>6</v>
      </c>
      <c r="L50" s="9">
        <v>180</v>
      </c>
      <c r="M50" s="9">
        <v>6</v>
      </c>
      <c r="N50" s="9"/>
      <c r="O50" s="34"/>
      <c r="P50" s="29">
        <f t="shared" si="23"/>
        <v>0.10395584540887963</v>
      </c>
      <c r="Q50" s="29">
        <f t="shared" si="24"/>
        <v>-0.10395584540887964</v>
      </c>
      <c r="R50" s="29">
        <f t="shared" si="25"/>
        <v>0.9890738003669027</v>
      </c>
      <c r="S50" s="10">
        <f t="shared" si="26"/>
        <v>315</v>
      </c>
      <c r="T50" s="10">
        <f t="shared" si="10"/>
        <v>81.54546639256617</v>
      </c>
      <c r="U50" s="18">
        <f t="shared" si="27"/>
        <v>135</v>
      </c>
      <c r="V50" s="10">
        <f t="shared" si="22"/>
        <v>45</v>
      </c>
      <c r="W50" s="19">
        <f t="shared" si="28"/>
        <v>8.45453360743383</v>
      </c>
      <c r="X50" s="35"/>
      <c r="Y50" s="37"/>
      <c r="Z50" s="22"/>
      <c r="AA50" s="2">
        <v>30</v>
      </c>
      <c r="AB50" s="9">
        <v>131</v>
      </c>
      <c r="AC50" s="26">
        <v>172.8</v>
      </c>
      <c r="AD50" s="27">
        <v>37.7</v>
      </c>
      <c r="AE50" s="18">
        <f t="shared" si="29"/>
        <v>322.2</v>
      </c>
      <c r="AF50" s="10">
        <f t="shared" si="30"/>
        <v>232.2</v>
      </c>
      <c r="AG50" s="10">
        <f t="shared" si="31"/>
        <v>8.45453360743383</v>
      </c>
      <c r="AH50" s="36"/>
      <c r="AI50" s="22"/>
    </row>
    <row r="51" spans="1:35" ht="12.75">
      <c r="A51" s="80">
        <v>57.155</v>
      </c>
      <c r="B51" s="9" t="s">
        <v>44</v>
      </c>
      <c r="C51" s="1" t="s">
        <v>58</v>
      </c>
      <c r="D51" s="1">
        <v>3</v>
      </c>
      <c r="E51" s="2" t="s">
        <v>46</v>
      </c>
      <c r="F51" s="11">
        <v>98</v>
      </c>
      <c r="G51" s="13">
        <v>98</v>
      </c>
      <c r="H51" s="43"/>
      <c r="I51" s="44"/>
      <c r="J51" s="2">
        <v>90</v>
      </c>
      <c r="K51" s="9">
        <v>5</v>
      </c>
      <c r="L51" s="9">
        <v>180</v>
      </c>
      <c r="M51" s="9">
        <v>9</v>
      </c>
      <c r="N51" s="9"/>
      <c r="O51" s="34"/>
      <c r="P51" s="29">
        <f t="shared" si="23"/>
        <v>0.1558391846718965</v>
      </c>
      <c r="Q51" s="29">
        <f t="shared" si="24"/>
        <v>-0.08608271092777123</v>
      </c>
      <c r="R51" s="29">
        <f t="shared" si="25"/>
        <v>0.9839298882679104</v>
      </c>
      <c r="S51" s="10">
        <f t="shared" si="26"/>
        <v>331.08454363408003</v>
      </c>
      <c r="T51" s="10">
        <f t="shared" si="10"/>
        <v>79.74377297772563</v>
      </c>
      <c r="U51" s="18">
        <f t="shared" si="27"/>
        <v>151.08454363408003</v>
      </c>
      <c r="V51" s="10">
        <f t="shared" si="22"/>
        <v>61.084543634080035</v>
      </c>
      <c r="W51" s="19">
        <f t="shared" si="28"/>
        <v>10.256227022274373</v>
      </c>
      <c r="X51" s="35"/>
      <c r="Y51" s="37"/>
      <c r="Z51" s="22"/>
      <c r="AA51" s="2">
        <v>30</v>
      </c>
      <c r="AB51" s="9">
        <v>131</v>
      </c>
      <c r="AC51" s="26">
        <v>174.4</v>
      </c>
      <c r="AD51" s="27">
        <v>12</v>
      </c>
      <c r="AE51" s="18">
        <f t="shared" si="29"/>
        <v>336.68454363408</v>
      </c>
      <c r="AF51" s="10">
        <f t="shared" si="30"/>
        <v>246.68454363408</v>
      </c>
      <c r="AG51" s="10">
        <f t="shared" si="31"/>
        <v>10.256227022274373</v>
      </c>
      <c r="AH51" s="36"/>
      <c r="AI51" s="22"/>
    </row>
    <row r="52" spans="1:35" ht="12.75">
      <c r="A52" s="80">
        <v>57.6</v>
      </c>
      <c r="B52" s="9" t="s">
        <v>44</v>
      </c>
      <c r="C52" s="1" t="s">
        <v>58</v>
      </c>
      <c r="D52" s="1">
        <v>4</v>
      </c>
      <c r="E52" s="2" t="s">
        <v>46</v>
      </c>
      <c r="F52" s="11">
        <v>12</v>
      </c>
      <c r="G52" s="13">
        <v>12</v>
      </c>
      <c r="H52" s="43"/>
      <c r="I52" s="44"/>
      <c r="J52" s="2">
        <v>90</v>
      </c>
      <c r="K52" s="9">
        <v>8</v>
      </c>
      <c r="L52" s="9">
        <v>180</v>
      </c>
      <c r="M52" s="9">
        <v>7</v>
      </c>
      <c r="N52" s="9"/>
      <c r="O52" s="34"/>
      <c r="P52" s="29">
        <f t="shared" si="23"/>
        <v>0.12068331933261861</v>
      </c>
      <c r="Q52" s="29">
        <f t="shared" si="24"/>
        <v>-0.13813572576990213</v>
      </c>
      <c r="R52" s="29">
        <f t="shared" si="25"/>
        <v>0.9828867607227297</v>
      </c>
      <c r="S52" s="10">
        <f t="shared" si="26"/>
        <v>311.14233262445447</v>
      </c>
      <c r="T52" s="10">
        <f t="shared" si="10"/>
        <v>79.42894908769492</v>
      </c>
      <c r="U52" s="18">
        <f t="shared" si="27"/>
        <v>131.14233262445447</v>
      </c>
      <c r="V52" s="10">
        <f t="shared" si="22"/>
        <v>41.14233262445447</v>
      </c>
      <c r="W52" s="19">
        <f t="shared" si="28"/>
        <v>10.571050912305083</v>
      </c>
      <c r="X52" s="35"/>
      <c r="Y52" s="37"/>
      <c r="Z52" s="22"/>
      <c r="AA52" s="2">
        <v>0</v>
      </c>
      <c r="AB52" s="9">
        <v>114</v>
      </c>
      <c r="AC52" s="26">
        <v>154.7</v>
      </c>
      <c r="AD52" s="27">
        <v>63.4</v>
      </c>
      <c r="AE52" s="18">
        <f t="shared" si="29"/>
        <v>336.4423326244545</v>
      </c>
      <c r="AF52" s="10">
        <f t="shared" si="30"/>
        <v>246.44233262445448</v>
      </c>
      <c r="AG52" s="10">
        <f t="shared" si="31"/>
        <v>10.571050912305083</v>
      </c>
      <c r="AH52" s="36"/>
      <c r="AI52" s="22"/>
    </row>
    <row r="53" spans="1:35" ht="12.75">
      <c r="A53" s="80">
        <v>57.77</v>
      </c>
      <c r="B53" s="9" t="s">
        <v>44</v>
      </c>
      <c r="C53" s="1" t="s">
        <v>58</v>
      </c>
      <c r="D53" s="1">
        <v>4</v>
      </c>
      <c r="E53" s="2" t="s">
        <v>46</v>
      </c>
      <c r="F53" s="11">
        <v>29</v>
      </c>
      <c r="G53" s="13">
        <v>29</v>
      </c>
      <c r="H53" s="43"/>
      <c r="I53" s="44"/>
      <c r="J53" s="2">
        <v>90</v>
      </c>
      <c r="K53" s="9">
        <v>6</v>
      </c>
      <c r="L53" s="9">
        <v>0</v>
      </c>
      <c r="M53" s="9">
        <v>7</v>
      </c>
      <c r="N53" s="9"/>
      <c r="O53" s="34"/>
      <c r="P53" s="29">
        <f t="shared" si="23"/>
        <v>0.12120173039057425</v>
      </c>
      <c r="Q53" s="29">
        <f t="shared" si="24"/>
        <v>0.10374932395329071</v>
      </c>
      <c r="R53" s="29">
        <f t="shared" si="25"/>
        <v>-0.9871088799708131</v>
      </c>
      <c r="S53" s="10">
        <f t="shared" si="26"/>
        <v>40.563700868029294</v>
      </c>
      <c r="T53" s="10">
        <f t="shared" si="10"/>
        <v>-80.81891132138493</v>
      </c>
      <c r="U53" s="18">
        <f t="shared" si="27"/>
        <v>40.563700868029294</v>
      </c>
      <c r="V53" s="10">
        <f t="shared" si="22"/>
        <v>310.5637008680293</v>
      </c>
      <c r="W53" s="19">
        <f t="shared" si="28"/>
        <v>9.181088678615069</v>
      </c>
      <c r="X53" s="35"/>
      <c r="Y53" s="37"/>
      <c r="Z53" s="22"/>
      <c r="AA53" s="2">
        <v>0</v>
      </c>
      <c r="AB53" s="9">
        <v>114</v>
      </c>
      <c r="AC53" s="26">
        <v>156.6</v>
      </c>
      <c r="AD53" s="27">
        <v>8.5</v>
      </c>
      <c r="AE53" s="18">
        <f t="shared" si="29"/>
        <v>243.9637008680293</v>
      </c>
      <c r="AF53" s="10">
        <f t="shared" si="30"/>
        <v>153.9637008680293</v>
      </c>
      <c r="AG53" s="10">
        <f t="shared" si="31"/>
        <v>9.181088678615069</v>
      </c>
      <c r="AH53" s="36"/>
      <c r="AI53" s="22"/>
    </row>
    <row r="54" spans="1:35" ht="12.75">
      <c r="A54" s="80">
        <v>57.93</v>
      </c>
      <c r="B54" s="9" t="s">
        <v>44</v>
      </c>
      <c r="C54" s="1" t="s">
        <v>58</v>
      </c>
      <c r="D54" s="1">
        <v>4</v>
      </c>
      <c r="E54" s="2" t="s">
        <v>46</v>
      </c>
      <c r="F54" s="11">
        <v>45</v>
      </c>
      <c r="G54" s="13">
        <v>45</v>
      </c>
      <c r="H54" s="43"/>
      <c r="I54" s="44"/>
      <c r="J54" s="2">
        <v>90</v>
      </c>
      <c r="K54" s="9">
        <v>2</v>
      </c>
      <c r="L54" s="9">
        <v>0</v>
      </c>
      <c r="M54" s="9">
        <v>6</v>
      </c>
      <c r="N54" s="9"/>
      <c r="O54" s="34"/>
      <c r="P54" s="29">
        <f t="shared" si="23"/>
        <v>0.10446478735209536</v>
      </c>
      <c r="Q54" s="29">
        <f t="shared" si="24"/>
        <v>0.03470831360797006</v>
      </c>
      <c r="R54" s="29">
        <f t="shared" si="25"/>
        <v>-0.9939160595006973</v>
      </c>
      <c r="S54" s="10">
        <f t="shared" si="26"/>
        <v>18.379011977496532</v>
      </c>
      <c r="T54" s="10">
        <f t="shared" si="10"/>
        <v>-83.68004299396074</v>
      </c>
      <c r="U54" s="18">
        <f t="shared" si="27"/>
        <v>18.379011977496532</v>
      </c>
      <c r="V54" s="10">
        <f t="shared" si="22"/>
        <v>288.37901197749653</v>
      </c>
      <c r="W54" s="19">
        <f t="shared" si="28"/>
        <v>6.31995700603926</v>
      </c>
      <c r="X54" s="35"/>
      <c r="Y54" s="37"/>
      <c r="Z54" s="22"/>
      <c r="AA54" s="2">
        <v>0</v>
      </c>
      <c r="AB54" s="9">
        <v>114</v>
      </c>
      <c r="AC54" s="26">
        <v>164.6</v>
      </c>
      <c r="AD54" s="27">
        <v>21.9</v>
      </c>
      <c r="AE54" s="18">
        <f t="shared" si="29"/>
        <v>213.77901197749654</v>
      </c>
      <c r="AF54" s="10">
        <f t="shared" si="30"/>
        <v>123.77901197749654</v>
      </c>
      <c r="AG54" s="10">
        <f t="shared" si="31"/>
        <v>6.31995700603926</v>
      </c>
      <c r="AH54" s="36"/>
      <c r="AI54" s="22"/>
    </row>
    <row r="55" spans="1:35" ht="12.75">
      <c r="A55" s="80">
        <v>58.18</v>
      </c>
      <c r="B55" s="9" t="s">
        <v>44</v>
      </c>
      <c r="C55" s="1" t="s">
        <v>58</v>
      </c>
      <c r="D55" s="1">
        <v>4</v>
      </c>
      <c r="E55" s="2" t="s">
        <v>46</v>
      </c>
      <c r="F55" s="11">
        <v>70</v>
      </c>
      <c r="G55" s="13">
        <v>70</v>
      </c>
      <c r="H55" s="43"/>
      <c r="I55" s="44"/>
      <c r="J55" s="2">
        <v>90</v>
      </c>
      <c r="K55" s="9">
        <v>4</v>
      </c>
      <c r="L55" s="9">
        <v>180</v>
      </c>
      <c r="M55" s="9">
        <v>5</v>
      </c>
      <c r="N55" s="9"/>
      <c r="O55" s="34"/>
      <c r="P55" s="29">
        <f t="shared" si="23"/>
        <v>0.08694343573875717</v>
      </c>
      <c r="Q55" s="29">
        <f t="shared" si="24"/>
        <v>-0.06949102930147368</v>
      </c>
      <c r="R55" s="29">
        <f t="shared" si="25"/>
        <v>0.9937680178757644</v>
      </c>
      <c r="S55" s="10">
        <f t="shared" si="26"/>
        <v>321.36580520133214</v>
      </c>
      <c r="T55" s="10">
        <f t="shared" si="10"/>
        <v>83.60949830070747</v>
      </c>
      <c r="U55" s="18">
        <f t="shared" si="27"/>
        <v>141.36580520133214</v>
      </c>
      <c r="V55" s="10">
        <f t="shared" si="22"/>
        <v>51.36580520133214</v>
      </c>
      <c r="W55" s="19">
        <f t="shared" si="28"/>
        <v>6.390501699292528</v>
      </c>
      <c r="X55" s="35"/>
      <c r="Y55" s="37"/>
      <c r="Z55" s="22"/>
      <c r="AA55" s="2">
        <v>0</v>
      </c>
      <c r="AB55" s="9">
        <v>114</v>
      </c>
      <c r="AC55" s="26">
        <v>152.8</v>
      </c>
      <c r="AD55" s="27">
        <v>61</v>
      </c>
      <c r="AE55" s="18">
        <f t="shared" si="29"/>
        <v>348.5658052013321</v>
      </c>
      <c r="AF55" s="10">
        <f t="shared" si="30"/>
        <v>258.5658052013321</v>
      </c>
      <c r="AG55" s="10">
        <f t="shared" si="31"/>
        <v>6.390501699292528</v>
      </c>
      <c r="AH55" s="36"/>
      <c r="AI55" s="22"/>
    </row>
    <row r="56" spans="1:35" ht="12.75">
      <c r="A56" s="80">
        <v>58.37</v>
      </c>
      <c r="B56" s="9" t="s">
        <v>44</v>
      </c>
      <c r="C56" s="1" t="s">
        <v>58</v>
      </c>
      <c r="D56" s="1">
        <v>4</v>
      </c>
      <c r="E56" s="2" t="s">
        <v>46</v>
      </c>
      <c r="F56" s="11">
        <v>89</v>
      </c>
      <c r="G56" s="13">
        <v>89</v>
      </c>
      <c r="H56" s="43"/>
      <c r="I56" s="44"/>
      <c r="J56" s="2">
        <v>90</v>
      </c>
      <c r="K56" s="9">
        <v>1</v>
      </c>
      <c r="L56" s="9">
        <v>0</v>
      </c>
      <c r="M56" s="9">
        <v>2</v>
      </c>
      <c r="N56" s="9"/>
      <c r="O56" s="34"/>
      <c r="P56" s="29">
        <f t="shared" si="23"/>
        <v>0.03489418134011367</v>
      </c>
      <c r="Q56" s="29">
        <f t="shared" si="24"/>
        <v>0.017441774902830155</v>
      </c>
      <c r="R56" s="29">
        <f t="shared" si="25"/>
        <v>-0.9992386149554826</v>
      </c>
      <c r="S56" s="10">
        <f t="shared" si="26"/>
        <v>26.55806801658109</v>
      </c>
      <c r="T56" s="10">
        <f t="shared" si="10"/>
        <v>-87.76429506217735</v>
      </c>
      <c r="U56" s="18">
        <f t="shared" si="27"/>
        <v>26.55806801658109</v>
      </c>
      <c r="V56" s="10">
        <f t="shared" si="22"/>
        <v>296.5580680165811</v>
      </c>
      <c r="W56" s="19">
        <f t="shared" si="28"/>
        <v>2.2357049378226463</v>
      </c>
      <c r="X56" s="35"/>
      <c r="Y56" s="37"/>
      <c r="Z56" s="22"/>
      <c r="AA56" s="2">
        <v>0</v>
      </c>
      <c r="AB56" s="9">
        <v>114</v>
      </c>
      <c r="AC56" s="26">
        <v>162.2</v>
      </c>
      <c r="AD56" s="27">
        <v>52.3</v>
      </c>
      <c r="AE56" s="18">
        <f t="shared" si="29"/>
        <v>224.35806801658111</v>
      </c>
      <c r="AF56" s="10">
        <f t="shared" si="30"/>
        <v>134.35806801658111</v>
      </c>
      <c r="AG56" s="10">
        <f t="shared" si="31"/>
        <v>2.2357049378226463</v>
      </c>
      <c r="AH56" s="36"/>
      <c r="AI56" s="22"/>
    </row>
    <row r="57" spans="1:35" ht="12.75">
      <c r="A57" s="80">
        <v>59.4</v>
      </c>
      <c r="B57" s="9" t="s">
        <v>44</v>
      </c>
      <c r="C57" s="1" t="s">
        <v>58</v>
      </c>
      <c r="D57" s="1">
        <v>6</v>
      </c>
      <c r="E57" s="2" t="s">
        <v>46</v>
      </c>
      <c r="F57" s="11">
        <v>56</v>
      </c>
      <c r="G57" s="13">
        <v>56</v>
      </c>
      <c r="H57" s="43"/>
      <c r="I57" s="44"/>
      <c r="J57" s="2">
        <v>90</v>
      </c>
      <c r="K57" s="9">
        <v>11</v>
      </c>
      <c r="L57" s="9">
        <v>180</v>
      </c>
      <c r="M57" s="9">
        <v>1</v>
      </c>
      <c r="N57" s="9"/>
      <c r="O57" s="34"/>
      <c r="P57" s="29">
        <f t="shared" si="23"/>
        <v>0.017131756575414468</v>
      </c>
      <c r="Q57" s="29">
        <f t="shared" si="24"/>
        <v>-0.19077993424234485</v>
      </c>
      <c r="R57" s="29">
        <f t="shared" si="25"/>
        <v>0.9814776768730069</v>
      </c>
      <c r="S57" s="10">
        <f t="shared" si="26"/>
        <v>275.1313134018011</v>
      </c>
      <c r="T57" s="10">
        <f t="shared" si="10"/>
        <v>78.9568242510489</v>
      </c>
      <c r="U57" s="18">
        <f t="shared" si="27"/>
        <v>95.1313134018011</v>
      </c>
      <c r="V57" s="10">
        <f t="shared" si="22"/>
        <v>5.131313401801094</v>
      </c>
      <c r="W57" s="19">
        <f t="shared" si="28"/>
        <v>11.0431757489511</v>
      </c>
      <c r="X57" s="35"/>
      <c r="Y57" s="37"/>
      <c r="Z57" s="22"/>
      <c r="AA57" s="2">
        <v>0</v>
      </c>
      <c r="AB57" s="9">
        <v>143</v>
      </c>
      <c r="AC57" s="26">
        <v>172</v>
      </c>
      <c r="AD57" s="27">
        <v>8.2</v>
      </c>
      <c r="AE57" s="18">
        <f t="shared" si="29"/>
        <v>283.1313134018011</v>
      </c>
      <c r="AF57" s="10">
        <f t="shared" si="30"/>
        <v>193.1313134018011</v>
      </c>
      <c r="AG57" s="10">
        <f t="shared" si="31"/>
        <v>11.0431757489511</v>
      </c>
      <c r="AH57" s="36"/>
      <c r="AI57" s="22"/>
    </row>
    <row r="58" spans="1:35" ht="12.75">
      <c r="A58" s="80">
        <v>58.96</v>
      </c>
      <c r="B58" s="9" t="s">
        <v>44</v>
      </c>
      <c r="C58" s="1" t="s">
        <v>58</v>
      </c>
      <c r="D58" s="1">
        <v>6</v>
      </c>
      <c r="E58" s="2" t="s">
        <v>46</v>
      </c>
      <c r="F58" s="11">
        <v>12</v>
      </c>
      <c r="G58" s="13">
        <v>18</v>
      </c>
      <c r="H58" s="43"/>
      <c r="I58" s="44"/>
      <c r="J58" s="2">
        <v>270</v>
      </c>
      <c r="K58" s="9">
        <v>41</v>
      </c>
      <c r="L58" s="9">
        <v>180</v>
      </c>
      <c r="M58" s="9">
        <v>5</v>
      </c>
      <c r="N58" s="9"/>
      <c r="O58" s="34"/>
      <c r="P58" s="29">
        <f t="shared" si="23"/>
        <v>-0.06577727402308908</v>
      </c>
      <c r="Q58" s="29">
        <f t="shared" si="24"/>
        <v>-0.653562526315562</v>
      </c>
      <c r="R58" s="29">
        <f t="shared" si="25"/>
        <v>-0.7518376824169724</v>
      </c>
      <c r="S58" s="10">
        <f t="shared" si="26"/>
        <v>264.2528650133812</v>
      </c>
      <c r="T58" s="10">
        <f t="shared" si="10"/>
        <v>-48.85699439656663</v>
      </c>
      <c r="U58" s="18">
        <f t="shared" si="27"/>
        <v>264.2528650133812</v>
      </c>
      <c r="V58" s="10">
        <f t="shared" si="22"/>
        <v>174.2528650133812</v>
      </c>
      <c r="W58" s="19">
        <f t="shared" si="28"/>
        <v>41.14300560343337</v>
      </c>
      <c r="X58" s="35"/>
      <c r="Y58" s="37"/>
      <c r="Z58" s="22"/>
      <c r="AA58" s="2">
        <v>0</v>
      </c>
      <c r="AB58" s="9">
        <v>143</v>
      </c>
      <c r="AC58" s="26">
        <v>285</v>
      </c>
      <c r="AD58" s="27">
        <v>34.8</v>
      </c>
      <c r="AE58" s="18">
        <f t="shared" si="29"/>
        <v>339.2528650133812</v>
      </c>
      <c r="AF58" s="10">
        <f t="shared" si="30"/>
        <v>249.2528650133812</v>
      </c>
      <c r="AG58" s="10">
        <f t="shared" si="31"/>
        <v>41.14300560343337</v>
      </c>
      <c r="AH58" s="36"/>
      <c r="AI58" s="22"/>
    </row>
    <row r="59" spans="1:36" ht="12.75">
      <c r="A59" s="80">
        <v>58.88</v>
      </c>
      <c r="B59" s="9" t="s">
        <v>44</v>
      </c>
      <c r="C59" s="1" t="s">
        <v>58</v>
      </c>
      <c r="D59" s="1">
        <v>6</v>
      </c>
      <c r="E59" s="2" t="s">
        <v>47</v>
      </c>
      <c r="F59" s="11">
        <v>4</v>
      </c>
      <c r="G59" s="13">
        <v>14</v>
      </c>
      <c r="H59" s="43"/>
      <c r="I59" s="44"/>
      <c r="J59" s="2">
        <v>270</v>
      </c>
      <c r="K59" s="9">
        <v>51</v>
      </c>
      <c r="L59" s="9">
        <v>180</v>
      </c>
      <c r="M59" s="9">
        <v>49</v>
      </c>
      <c r="N59" s="9"/>
      <c r="O59" s="34"/>
      <c r="P59" s="29">
        <f t="shared" si="23"/>
        <v>-0.47495412815485366</v>
      </c>
      <c r="Q59" s="29">
        <f t="shared" si="24"/>
        <v>-0.5098536248573544</v>
      </c>
      <c r="R59" s="29">
        <f t="shared" si="25"/>
        <v>-0.41287132467608284</v>
      </c>
      <c r="S59" s="10">
        <f t="shared" si="26"/>
        <v>227.02959149485065</v>
      </c>
      <c r="T59" s="10">
        <f t="shared" si="10"/>
        <v>-30.64774659479129</v>
      </c>
      <c r="U59" s="18">
        <f t="shared" si="27"/>
        <v>227.02959149485065</v>
      </c>
      <c r="V59" s="10">
        <f t="shared" si="22"/>
        <v>137.02959149485065</v>
      </c>
      <c r="W59" s="19">
        <f t="shared" si="28"/>
        <v>59.352253405208714</v>
      </c>
      <c r="X59" s="35"/>
      <c r="Y59" s="37"/>
      <c r="Z59" s="22" t="s">
        <v>48</v>
      </c>
      <c r="AA59" s="2">
        <v>0</v>
      </c>
      <c r="AB59" s="9">
        <v>143</v>
      </c>
      <c r="AC59" s="26">
        <v>250.1</v>
      </c>
      <c r="AD59" s="27">
        <v>72.8</v>
      </c>
      <c r="AE59" s="18">
        <f t="shared" si="29"/>
        <v>336.9295914948507</v>
      </c>
      <c r="AF59" s="10">
        <f t="shared" si="30"/>
        <v>246.92959149485068</v>
      </c>
      <c r="AG59" s="10">
        <f t="shared" si="31"/>
        <v>59.352253405208714</v>
      </c>
      <c r="AH59" s="36"/>
      <c r="AI59" s="22" t="str">
        <f>Z59</f>
        <v>N</v>
      </c>
      <c r="AJ59" t="s">
        <v>50</v>
      </c>
    </row>
    <row r="60" spans="1:35" ht="12.75">
      <c r="A60" s="80">
        <v>60.075</v>
      </c>
      <c r="B60" s="9" t="s">
        <v>44</v>
      </c>
      <c r="C60" s="1" t="s">
        <v>58</v>
      </c>
      <c r="D60" s="1">
        <v>6</v>
      </c>
      <c r="E60" s="2" t="s">
        <v>46</v>
      </c>
      <c r="F60" s="11">
        <v>123.5</v>
      </c>
      <c r="G60" s="13">
        <v>123.5</v>
      </c>
      <c r="H60" s="43"/>
      <c r="I60" s="44"/>
      <c r="J60" s="2">
        <v>90</v>
      </c>
      <c r="K60" s="9">
        <v>3</v>
      </c>
      <c r="L60" s="9">
        <v>0</v>
      </c>
      <c r="M60" s="9">
        <v>7</v>
      </c>
      <c r="N60" s="9"/>
      <c r="O60" s="34"/>
      <c r="P60" s="29">
        <f t="shared" si="23"/>
        <v>0.12170232570552782</v>
      </c>
      <c r="Q60" s="29">
        <f t="shared" si="24"/>
        <v>0.05194585196140251</v>
      </c>
      <c r="R60" s="29">
        <f t="shared" si="25"/>
        <v>-0.991185901636016</v>
      </c>
      <c r="S60" s="10">
        <f t="shared" si="26"/>
        <v>23.11410337936558</v>
      </c>
      <c r="T60" s="10">
        <f t="shared" si="10"/>
        <v>-82.39589554630736</v>
      </c>
      <c r="U60" s="18">
        <f t="shared" si="27"/>
        <v>23.11410337936558</v>
      </c>
      <c r="V60" s="10">
        <f t="shared" si="22"/>
        <v>293.1141033793656</v>
      </c>
      <c r="W60" s="19">
        <f t="shared" si="28"/>
        <v>7.604104453692642</v>
      </c>
      <c r="X60" s="35"/>
      <c r="Y60" s="37"/>
      <c r="Z60" s="22"/>
      <c r="AA60" s="2">
        <v>0</v>
      </c>
      <c r="AB60" s="9">
        <v>143</v>
      </c>
      <c r="AC60" s="26">
        <v>167.7</v>
      </c>
      <c r="AD60" s="27">
        <v>-14.6</v>
      </c>
      <c r="AE60" s="18">
        <f t="shared" si="29"/>
        <v>35.4141033793656</v>
      </c>
      <c r="AF60" s="10">
        <f t="shared" si="30"/>
        <v>305.4141033793656</v>
      </c>
      <c r="AG60" s="10">
        <f t="shared" si="31"/>
        <v>7.604104453692642</v>
      </c>
      <c r="AH60" s="36"/>
      <c r="AI60" s="22"/>
    </row>
    <row r="61" spans="1:35" ht="12.75">
      <c r="A61" s="80">
        <v>60.4</v>
      </c>
      <c r="B61" s="9" t="s">
        <v>44</v>
      </c>
      <c r="C61" s="1" t="s">
        <v>58</v>
      </c>
      <c r="D61" s="1">
        <v>7</v>
      </c>
      <c r="E61" s="2" t="s">
        <v>46</v>
      </c>
      <c r="F61" s="11">
        <v>13</v>
      </c>
      <c r="G61" s="13">
        <v>13</v>
      </c>
      <c r="H61" s="43"/>
      <c r="I61" s="44"/>
      <c r="J61" s="2">
        <v>270</v>
      </c>
      <c r="K61" s="9">
        <v>5</v>
      </c>
      <c r="L61" s="9">
        <v>0</v>
      </c>
      <c r="M61" s="9">
        <v>8</v>
      </c>
      <c r="N61" s="9"/>
      <c r="O61" s="34"/>
      <c r="P61" s="29">
        <f t="shared" si="23"/>
        <v>-0.1386435052934044</v>
      </c>
      <c r="Q61" s="29">
        <f t="shared" si="24"/>
        <v>0.0863075490504606</v>
      </c>
      <c r="R61" s="29">
        <f t="shared" si="25"/>
        <v>0.9864997997699047</v>
      </c>
      <c r="S61" s="10">
        <f t="shared" si="26"/>
        <v>148.09715033770377</v>
      </c>
      <c r="T61" s="10">
        <f t="shared" si="10"/>
        <v>80.60007656802671</v>
      </c>
      <c r="U61" s="18">
        <f t="shared" si="27"/>
        <v>328.09715033770374</v>
      </c>
      <c r="V61" s="10">
        <f t="shared" si="22"/>
        <v>238.09715033770374</v>
      </c>
      <c r="W61" s="19">
        <f t="shared" si="28"/>
        <v>9.399923431973292</v>
      </c>
      <c r="X61" s="35"/>
      <c r="Y61" s="37"/>
      <c r="Z61" s="22"/>
      <c r="AA61" s="2">
        <v>0</v>
      </c>
      <c r="AB61" s="9">
        <v>134</v>
      </c>
      <c r="AC61" s="26">
        <v>165.8</v>
      </c>
      <c r="AD61" s="27">
        <v>-14.2</v>
      </c>
      <c r="AE61" s="18">
        <f t="shared" si="29"/>
        <v>342.2971503377037</v>
      </c>
      <c r="AF61" s="10">
        <f t="shared" si="30"/>
        <v>252.29715033770373</v>
      </c>
      <c r="AG61" s="10">
        <f t="shared" si="31"/>
        <v>9.399923431973292</v>
      </c>
      <c r="AH61" s="36"/>
      <c r="AI61" s="22"/>
    </row>
    <row r="62" spans="1:35" ht="12.75">
      <c r="A62" s="80">
        <v>60.885</v>
      </c>
      <c r="B62" s="9" t="s">
        <v>44</v>
      </c>
      <c r="C62" s="1" t="s">
        <v>58</v>
      </c>
      <c r="D62" s="1">
        <v>7</v>
      </c>
      <c r="E62" s="2" t="s">
        <v>46</v>
      </c>
      <c r="F62" s="11">
        <v>61.5</v>
      </c>
      <c r="G62" s="13">
        <v>61.5</v>
      </c>
      <c r="H62" s="43"/>
      <c r="I62" s="44"/>
      <c r="J62" s="2">
        <v>90</v>
      </c>
      <c r="K62" s="9">
        <v>3</v>
      </c>
      <c r="L62" s="9">
        <v>180</v>
      </c>
      <c r="M62" s="9">
        <v>1</v>
      </c>
      <c r="N62" s="9"/>
      <c r="O62" s="34"/>
      <c r="P62" s="29">
        <f t="shared" si="23"/>
        <v>0.017428488520812156</v>
      </c>
      <c r="Q62" s="29">
        <f t="shared" si="24"/>
        <v>-0.05232798522331313</v>
      </c>
      <c r="R62" s="29">
        <f t="shared" si="25"/>
        <v>0.9984774386394599</v>
      </c>
      <c r="S62" s="10">
        <f t="shared" si="26"/>
        <v>288.42098079972504</v>
      </c>
      <c r="T62" s="10">
        <f t="shared" si="10"/>
        <v>86.83829951329471</v>
      </c>
      <c r="U62" s="18">
        <f t="shared" si="27"/>
        <v>108.42098079972504</v>
      </c>
      <c r="V62" s="10">
        <f t="shared" si="22"/>
        <v>18.420980799725044</v>
      </c>
      <c r="W62" s="19">
        <f t="shared" si="28"/>
        <v>3.1617004867052856</v>
      </c>
      <c r="X62" s="35"/>
      <c r="Y62" s="37"/>
      <c r="Z62" s="22"/>
      <c r="AA62" s="2">
        <v>0</v>
      </c>
      <c r="AB62" s="9">
        <v>134</v>
      </c>
      <c r="AC62" s="26">
        <v>149.7</v>
      </c>
      <c r="AD62" s="27">
        <v>-16</v>
      </c>
      <c r="AE62" s="18">
        <f t="shared" si="29"/>
        <v>138.72098079972506</v>
      </c>
      <c r="AF62" s="10">
        <f t="shared" si="30"/>
        <v>48.720980799725055</v>
      </c>
      <c r="AG62" s="10">
        <f t="shared" si="31"/>
        <v>3.1617004867052856</v>
      </c>
      <c r="AH62" s="36"/>
      <c r="AI62" s="22"/>
    </row>
    <row r="63" spans="1:35" ht="12.75">
      <c r="A63" s="80">
        <v>61.19</v>
      </c>
      <c r="B63" s="9" t="s">
        <v>44</v>
      </c>
      <c r="C63" s="1" t="s">
        <v>58</v>
      </c>
      <c r="D63" s="1">
        <v>7</v>
      </c>
      <c r="E63" s="2" t="s">
        <v>46</v>
      </c>
      <c r="F63" s="11">
        <v>92</v>
      </c>
      <c r="G63" s="13">
        <v>92</v>
      </c>
      <c r="H63" s="43"/>
      <c r="I63" s="44"/>
      <c r="J63" s="2">
        <v>90</v>
      </c>
      <c r="K63" s="9">
        <v>5</v>
      </c>
      <c r="L63" s="9">
        <v>0</v>
      </c>
      <c r="M63" s="9">
        <v>4</v>
      </c>
      <c r="N63" s="9"/>
      <c r="O63" s="34"/>
      <c r="P63" s="29">
        <f aca="true" t="shared" si="32" ref="P63:P106">COS(K63*PI()/180)*SIN(J63*PI()/180)*(SIN(M63*PI()/180))-(COS(M63*PI()/180)*SIN(L63*PI()/180))*(SIN(K63*PI()/180))</f>
        <v>0.06949102930147368</v>
      </c>
      <c r="Q63" s="29">
        <f aca="true" t="shared" si="33" ref="Q63:Q106">(SIN(K63*PI()/180))*(COS(M63*PI()/180)*COS(L63*PI()/180))-(SIN(M63*PI()/180))*(COS(K63*PI()/180)*COS(J63*PI()/180))</f>
        <v>0.08694343573875718</v>
      </c>
      <c r="R63" s="29">
        <f aca="true" t="shared" si="34" ref="R63:R106">(COS(K63*PI()/180)*COS(J63*PI()/180))*(COS(M63*PI()/180)*SIN(L63*PI()/180))-(COS(K63*PI()/180)*SIN(J63*PI()/180))*(COS(M63*PI()/180)*COS(L63*PI()/180))</f>
        <v>-0.9937680178757644</v>
      </c>
      <c r="S63" s="10">
        <f aca="true" t="shared" si="35" ref="S63:S106">IF(P63=0,IF(Q63&gt;=0,90,270),IF(P63&gt;0,IF(Q63&gt;=0,ATAN(Q63/P63)*180/PI(),ATAN(Q63/P63)*180/PI()+360),ATAN(Q63/P63)*180/PI()+180))</f>
        <v>51.36580520133216</v>
      </c>
      <c r="T63" s="10">
        <f t="shared" si="10"/>
        <v>-83.60949830070751</v>
      </c>
      <c r="U63" s="18">
        <f aca="true" t="shared" si="36" ref="U63:U106">IF(R63&lt;0,S63,IF(S63+180&gt;=360,S63-180,S63+180))</f>
        <v>51.36580520133216</v>
      </c>
      <c r="V63" s="10">
        <f t="shared" si="22"/>
        <v>321.36580520133214</v>
      </c>
      <c r="W63" s="19">
        <f aca="true" t="shared" si="37" ref="W63:W106">IF(R63&lt;0,90+T63,90-T63)</f>
        <v>6.390501699292486</v>
      </c>
      <c r="X63" s="35"/>
      <c r="Y63" s="37"/>
      <c r="Z63" s="22"/>
      <c r="AA63" s="2">
        <v>0</v>
      </c>
      <c r="AB63" s="9">
        <v>134</v>
      </c>
      <c r="AC63" s="26">
        <v>163.9</v>
      </c>
      <c r="AD63" s="27">
        <v>-65.6</v>
      </c>
      <c r="AE63" s="18">
        <f aca="true" t="shared" si="38" ref="AE63:AE106">IF(AD63&gt;=0,IF(U63&gt;=AC63,U63-AC63,U63-AC63+360),IF((U63-AC63-180)&lt;0,IF(U63-AC63+180&lt;0,U63-AC63+540,U63-AC63+180),U63-AC63-180))</f>
        <v>67.46580520133216</v>
      </c>
      <c r="AF63" s="10">
        <f t="shared" si="30"/>
        <v>337.46580520133216</v>
      </c>
      <c r="AG63" s="10">
        <f aca="true" t="shared" si="39" ref="AG63:AG106">W63</f>
        <v>6.390501699292486</v>
      </c>
      <c r="AH63" s="36"/>
      <c r="AI63" s="22"/>
    </row>
    <row r="64" spans="1:35" ht="12.75">
      <c r="A64" s="80">
        <v>61.36</v>
      </c>
      <c r="B64" s="9" t="s">
        <v>44</v>
      </c>
      <c r="C64" s="1" t="s">
        <v>58</v>
      </c>
      <c r="D64" s="1">
        <v>7</v>
      </c>
      <c r="E64" s="2" t="s">
        <v>46</v>
      </c>
      <c r="F64" s="11">
        <v>109</v>
      </c>
      <c r="G64" s="13">
        <v>109</v>
      </c>
      <c r="H64" s="43"/>
      <c r="I64" s="44"/>
      <c r="J64" s="2">
        <v>90</v>
      </c>
      <c r="K64" s="9">
        <v>0</v>
      </c>
      <c r="L64" s="9">
        <v>0</v>
      </c>
      <c r="M64" s="9">
        <v>7</v>
      </c>
      <c r="N64" s="9"/>
      <c r="O64" s="34"/>
      <c r="P64" s="29">
        <f t="shared" si="32"/>
        <v>0.12186934340514748</v>
      </c>
      <c r="Q64" s="29">
        <f t="shared" si="33"/>
        <v>-7.462345065765172E-18</v>
      </c>
      <c r="R64" s="29">
        <f t="shared" si="34"/>
        <v>-0.992546151641322</v>
      </c>
      <c r="S64" s="10">
        <f t="shared" si="35"/>
        <v>360</v>
      </c>
      <c r="T64" s="10">
        <f t="shared" si="10"/>
        <v>-83.00000000000003</v>
      </c>
      <c r="U64" s="18">
        <f t="shared" si="36"/>
        <v>360</v>
      </c>
      <c r="V64" s="10">
        <f t="shared" si="22"/>
        <v>270</v>
      </c>
      <c r="W64" s="19">
        <f t="shared" si="37"/>
        <v>6.999999999999972</v>
      </c>
      <c r="X64" s="35"/>
      <c r="Y64" s="37"/>
      <c r="Z64" s="22"/>
      <c r="AA64" s="2">
        <v>0</v>
      </c>
      <c r="AB64" s="9">
        <v>134</v>
      </c>
      <c r="AC64" s="26">
        <v>155.8</v>
      </c>
      <c r="AD64" s="27">
        <v>-42</v>
      </c>
      <c r="AE64" s="18">
        <f t="shared" si="38"/>
        <v>24.19999999999999</v>
      </c>
      <c r="AF64" s="10">
        <f t="shared" si="30"/>
        <v>294.2</v>
      </c>
      <c r="AG64" s="10">
        <f t="shared" si="39"/>
        <v>6.999999999999972</v>
      </c>
      <c r="AH64" s="36"/>
      <c r="AI64" s="22"/>
    </row>
    <row r="65" spans="1:35" ht="12.75">
      <c r="A65" s="80">
        <v>61.945</v>
      </c>
      <c r="B65" s="9" t="s">
        <v>44</v>
      </c>
      <c r="C65" s="1" t="s">
        <v>58</v>
      </c>
      <c r="D65" s="1">
        <v>8</v>
      </c>
      <c r="E65" s="2" t="s">
        <v>46</v>
      </c>
      <c r="F65" s="11">
        <v>33</v>
      </c>
      <c r="G65" s="13">
        <v>33</v>
      </c>
      <c r="H65" s="43"/>
      <c r="I65" s="44"/>
      <c r="J65" s="2">
        <v>270</v>
      </c>
      <c r="K65" s="9">
        <v>3</v>
      </c>
      <c r="L65" s="9">
        <v>0</v>
      </c>
      <c r="M65" s="9">
        <v>6</v>
      </c>
      <c r="N65" s="9"/>
      <c r="O65" s="34"/>
      <c r="P65" s="29">
        <f t="shared" si="32"/>
        <v>-0.10438521064158733</v>
      </c>
      <c r="Q65" s="29">
        <f t="shared" si="33"/>
        <v>0.05204925439864353</v>
      </c>
      <c r="R65" s="29">
        <f t="shared" si="34"/>
        <v>0.9931589376748557</v>
      </c>
      <c r="S65" s="10">
        <f t="shared" si="35"/>
        <v>153.49793026401855</v>
      </c>
      <c r="T65" s="10">
        <f t="shared" si="10"/>
        <v>83.30154702070026</v>
      </c>
      <c r="U65" s="18">
        <f t="shared" si="36"/>
        <v>333.4979302640186</v>
      </c>
      <c r="V65" s="10">
        <f t="shared" si="22"/>
        <v>243.49793026401858</v>
      </c>
      <c r="W65" s="19">
        <f t="shared" si="37"/>
        <v>6.698452979299745</v>
      </c>
      <c r="X65" s="35"/>
      <c r="Y65" s="37"/>
      <c r="Z65" s="22"/>
      <c r="AA65" s="2">
        <v>0</v>
      </c>
      <c r="AB65" s="9">
        <v>130</v>
      </c>
      <c r="AC65" s="26">
        <v>169.1</v>
      </c>
      <c r="AD65" s="27">
        <v>-49</v>
      </c>
      <c r="AE65" s="18">
        <f t="shared" si="38"/>
        <v>344.39793026401856</v>
      </c>
      <c r="AF65" s="10">
        <f t="shared" si="30"/>
        <v>254.39793026401856</v>
      </c>
      <c r="AG65" s="10">
        <f t="shared" si="39"/>
        <v>6.698452979299745</v>
      </c>
      <c r="AH65" s="36"/>
      <c r="AI65" s="22"/>
    </row>
    <row r="66" spans="1:35" ht="12.75">
      <c r="A66" s="80">
        <v>63.065</v>
      </c>
      <c r="B66" s="9" t="s">
        <v>44</v>
      </c>
      <c r="C66" s="1" t="s">
        <v>58</v>
      </c>
      <c r="D66" s="1">
        <v>9</v>
      </c>
      <c r="E66" s="2" t="s">
        <v>46</v>
      </c>
      <c r="F66" s="11">
        <v>15.5</v>
      </c>
      <c r="G66" s="13">
        <v>15.5</v>
      </c>
      <c r="H66" s="43"/>
      <c r="I66" s="44"/>
      <c r="J66" s="2">
        <v>90</v>
      </c>
      <c r="K66" s="9">
        <v>2</v>
      </c>
      <c r="L66" s="9">
        <v>180</v>
      </c>
      <c r="M66" s="9">
        <v>3</v>
      </c>
      <c r="N66" s="9"/>
      <c r="O66" s="34"/>
      <c r="P66" s="29">
        <f t="shared" si="32"/>
        <v>0.052304074592470835</v>
      </c>
      <c r="Q66" s="29">
        <f t="shared" si="33"/>
        <v>-0.034851668155187324</v>
      </c>
      <c r="R66" s="29">
        <f t="shared" si="34"/>
        <v>0.9980211966240684</v>
      </c>
      <c r="S66" s="10">
        <f t="shared" si="35"/>
        <v>326.32336918625157</v>
      </c>
      <c r="T66" s="10">
        <f t="shared" si="10"/>
        <v>86.39647307521291</v>
      </c>
      <c r="U66" s="18">
        <f t="shared" si="36"/>
        <v>146.32336918625157</v>
      </c>
      <c r="V66" s="10">
        <f t="shared" si="22"/>
        <v>56.32336918625157</v>
      </c>
      <c r="W66" s="19">
        <f t="shared" si="37"/>
        <v>3.60352692478709</v>
      </c>
      <c r="X66" s="35"/>
      <c r="Y66" s="37"/>
      <c r="Z66" s="22"/>
      <c r="AA66" s="2">
        <v>0</v>
      </c>
      <c r="AB66" s="9">
        <v>78</v>
      </c>
      <c r="AC66" s="26">
        <v>149.6</v>
      </c>
      <c r="AD66" s="27">
        <v>-77.4</v>
      </c>
      <c r="AE66" s="18">
        <f t="shared" si="38"/>
        <v>176.72336918625157</v>
      </c>
      <c r="AF66" s="10">
        <f t="shared" si="30"/>
        <v>86.72336918625157</v>
      </c>
      <c r="AG66" s="10">
        <f t="shared" si="39"/>
        <v>3.60352692478709</v>
      </c>
      <c r="AH66" s="36"/>
      <c r="AI66" s="22"/>
    </row>
    <row r="67" spans="1:35" ht="12.75">
      <c r="A67" s="80">
        <v>63.3</v>
      </c>
      <c r="B67" s="9" t="s">
        <v>44</v>
      </c>
      <c r="C67" s="1" t="s">
        <v>58</v>
      </c>
      <c r="D67" s="1">
        <v>9</v>
      </c>
      <c r="E67" s="2" t="s">
        <v>46</v>
      </c>
      <c r="F67" s="11">
        <v>39</v>
      </c>
      <c r="G67" s="13">
        <v>39</v>
      </c>
      <c r="H67" s="43"/>
      <c r="I67" s="44"/>
      <c r="J67" s="2">
        <v>90</v>
      </c>
      <c r="K67" s="9">
        <v>1</v>
      </c>
      <c r="L67" s="9">
        <v>180</v>
      </c>
      <c r="M67" s="9">
        <v>2</v>
      </c>
      <c r="N67" s="9"/>
      <c r="O67" s="34"/>
      <c r="P67" s="29">
        <f t="shared" si="32"/>
        <v>0.03489418134011367</v>
      </c>
      <c r="Q67" s="29">
        <f t="shared" si="33"/>
        <v>-0.01744177490283016</v>
      </c>
      <c r="R67" s="29">
        <f t="shared" si="34"/>
        <v>0.9992386149554826</v>
      </c>
      <c r="S67" s="10">
        <f t="shared" si="35"/>
        <v>333.4419319834189</v>
      </c>
      <c r="T67" s="10">
        <f t="shared" si="10"/>
        <v>87.76429506217735</v>
      </c>
      <c r="U67" s="18">
        <f t="shared" si="36"/>
        <v>153.4419319834189</v>
      </c>
      <c r="V67" s="10">
        <f t="shared" si="22"/>
        <v>63.4419319834189</v>
      </c>
      <c r="W67" s="19">
        <f t="shared" si="37"/>
        <v>2.2357049378226463</v>
      </c>
      <c r="X67" s="35"/>
      <c r="Y67" s="37"/>
      <c r="Z67" s="22"/>
      <c r="AA67" s="2">
        <v>0</v>
      </c>
      <c r="AB67" s="9">
        <v>78</v>
      </c>
      <c r="AC67" s="26">
        <v>159.4</v>
      </c>
      <c r="AD67" s="27">
        <v>-82.4</v>
      </c>
      <c r="AE67" s="18">
        <f t="shared" si="38"/>
        <v>174.0419319834189</v>
      </c>
      <c r="AF67" s="10">
        <f t="shared" si="30"/>
        <v>84.04193198341889</v>
      </c>
      <c r="AG67" s="10">
        <f t="shared" si="39"/>
        <v>2.2357049378226463</v>
      </c>
      <c r="AH67" s="36"/>
      <c r="AI67" s="22"/>
    </row>
    <row r="68" spans="1:35" ht="12.75">
      <c r="A68" s="80">
        <v>63.46</v>
      </c>
      <c r="B68" s="1" t="s">
        <v>44</v>
      </c>
      <c r="C68" s="1" t="s">
        <v>58</v>
      </c>
      <c r="D68" s="1">
        <v>9</v>
      </c>
      <c r="E68" s="2" t="s">
        <v>46</v>
      </c>
      <c r="F68" s="11">
        <v>55</v>
      </c>
      <c r="G68" s="13">
        <v>55</v>
      </c>
      <c r="H68" s="43"/>
      <c r="I68" s="44"/>
      <c r="J68" s="2">
        <v>90</v>
      </c>
      <c r="K68" s="1">
        <v>3</v>
      </c>
      <c r="L68" s="1">
        <v>0</v>
      </c>
      <c r="M68" s="1">
        <v>2</v>
      </c>
      <c r="N68" s="1"/>
      <c r="O68" s="57"/>
      <c r="P68" s="29">
        <v>0.0348516681551873</v>
      </c>
      <c r="Q68" s="29">
        <v>0.0523040745924708</v>
      </c>
      <c r="R68" s="29">
        <v>-0.998021196624068</v>
      </c>
      <c r="S68" s="10">
        <v>56.32336918625155</v>
      </c>
      <c r="T68" s="10">
        <f aca="true" t="shared" si="40" ref="T68:T131">ASIN(R68/SQRT(P68^2+Q68^2+R68^2))*180/PI()</f>
        <v>-86.39647307521291</v>
      </c>
      <c r="U68" s="18">
        <v>56.32336918625155</v>
      </c>
      <c r="V68" s="10">
        <v>326.3233691862516</v>
      </c>
      <c r="W68" s="19">
        <v>3.605044191944714</v>
      </c>
      <c r="X68" s="35"/>
      <c r="Y68" s="35"/>
      <c r="Z68" s="58"/>
      <c r="AA68" s="2">
        <v>0</v>
      </c>
      <c r="AB68" s="1">
        <v>78</v>
      </c>
      <c r="AC68" s="26">
        <v>150.6</v>
      </c>
      <c r="AD68" s="27">
        <v>-78.2</v>
      </c>
      <c r="AE68" s="18">
        <v>56.32336918625155</v>
      </c>
      <c r="AF68" s="10">
        <v>326.3233691862516</v>
      </c>
      <c r="AG68" s="10">
        <v>3.605044191944714</v>
      </c>
      <c r="AH68" s="59"/>
      <c r="AI68" s="58"/>
    </row>
    <row r="69" spans="1:36" ht="12.75">
      <c r="A69" s="80">
        <v>63.27</v>
      </c>
      <c r="B69" s="9" t="s">
        <v>44</v>
      </c>
      <c r="C69" s="1" t="s">
        <v>58</v>
      </c>
      <c r="D69" s="1">
        <v>9</v>
      </c>
      <c r="E69" s="2" t="s">
        <v>47</v>
      </c>
      <c r="F69" s="11">
        <v>36</v>
      </c>
      <c r="G69" s="13">
        <v>40.5</v>
      </c>
      <c r="H69" s="43"/>
      <c r="I69" s="44"/>
      <c r="J69" s="2">
        <v>90</v>
      </c>
      <c r="K69" s="9">
        <v>61</v>
      </c>
      <c r="L69" s="9">
        <v>152</v>
      </c>
      <c r="M69" s="9">
        <v>0</v>
      </c>
      <c r="N69" s="9"/>
      <c r="O69" s="34"/>
      <c r="P69" s="29">
        <f t="shared" si="32"/>
        <v>-0.4106090807540705</v>
      </c>
      <c r="Q69" s="29">
        <f t="shared" si="33"/>
        <v>-0.772243365085709</v>
      </c>
      <c r="R69" s="29">
        <f t="shared" si="34"/>
        <v>0.4280614871913538</v>
      </c>
      <c r="S69" s="10">
        <f t="shared" si="35"/>
        <v>242</v>
      </c>
      <c r="T69" s="10">
        <f t="shared" si="40"/>
        <v>26.078320460414282</v>
      </c>
      <c r="U69" s="18">
        <f t="shared" si="36"/>
        <v>62</v>
      </c>
      <c r="V69" s="10">
        <f t="shared" si="22"/>
        <v>332</v>
      </c>
      <c r="W69" s="19">
        <f t="shared" si="37"/>
        <v>63.92167953958572</v>
      </c>
      <c r="X69" s="35"/>
      <c r="Y69" s="37"/>
      <c r="Z69" s="22" t="s">
        <v>48</v>
      </c>
      <c r="AA69" s="2">
        <v>0</v>
      </c>
      <c r="AB69" s="9">
        <v>78</v>
      </c>
      <c r="AC69" s="26">
        <v>157.3</v>
      </c>
      <c r="AD69" s="27">
        <v>-61.6</v>
      </c>
      <c r="AE69" s="18">
        <f t="shared" si="38"/>
        <v>84.69999999999999</v>
      </c>
      <c r="AF69" s="10">
        <f t="shared" si="30"/>
        <v>354.7</v>
      </c>
      <c r="AG69" s="10">
        <f t="shared" si="39"/>
        <v>63.92167953958572</v>
      </c>
      <c r="AH69" s="36"/>
      <c r="AI69" s="22" t="str">
        <f>Z69</f>
        <v>N</v>
      </c>
      <c r="AJ69" t="s">
        <v>60</v>
      </c>
    </row>
    <row r="70" spans="1:35" ht="12.75">
      <c r="A70" s="80">
        <v>63.815</v>
      </c>
      <c r="B70" s="9" t="s">
        <v>44</v>
      </c>
      <c r="C70" s="1" t="s">
        <v>58</v>
      </c>
      <c r="D70" s="1" t="s">
        <v>52</v>
      </c>
      <c r="E70" s="2" t="s">
        <v>46</v>
      </c>
      <c r="F70" s="11">
        <v>12</v>
      </c>
      <c r="G70" s="13">
        <v>13</v>
      </c>
      <c r="H70" s="43"/>
      <c r="I70" s="44"/>
      <c r="J70" s="2">
        <v>90</v>
      </c>
      <c r="K70" s="9">
        <v>8</v>
      </c>
      <c r="L70" s="9">
        <v>180</v>
      </c>
      <c r="M70" s="9">
        <v>5</v>
      </c>
      <c r="N70" s="9"/>
      <c r="O70" s="34"/>
      <c r="P70" s="29">
        <f t="shared" si="32"/>
        <v>0.08630754905046056</v>
      </c>
      <c r="Q70" s="29">
        <f t="shared" si="33"/>
        <v>-0.1386435052934044</v>
      </c>
      <c r="R70" s="29">
        <f t="shared" si="34"/>
        <v>0.9864997997699047</v>
      </c>
      <c r="S70" s="10">
        <f t="shared" si="35"/>
        <v>301.9028496622962</v>
      </c>
      <c r="T70" s="10">
        <f t="shared" si="40"/>
        <v>80.60007656802671</v>
      </c>
      <c r="U70" s="18">
        <f t="shared" si="36"/>
        <v>121.9028496622962</v>
      </c>
      <c r="V70" s="10">
        <f t="shared" si="22"/>
        <v>31.902849662296205</v>
      </c>
      <c r="W70" s="19">
        <f t="shared" si="37"/>
        <v>9.399923431973292</v>
      </c>
      <c r="X70" s="35"/>
      <c r="Y70" s="37"/>
      <c r="Z70" s="22"/>
      <c r="AA70" s="2">
        <v>0</v>
      </c>
      <c r="AB70" s="9">
        <v>57</v>
      </c>
      <c r="AC70" s="26"/>
      <c r="AD70" s="27"/>
      <c r="AE70" s="18">
        <f t="shared" si="38"/>
        <v>121.9028496622962</v>
      </c>
      <c r="AF70" s="10">
        <f t="shared" si="30"/>
        <v>31.902849662296205</v>
      </c>
      <c r="AG70" s="10">
        <f t="shared" si="39"/>
        <v>9.399923431973292</v>
      </c>
      <c r="AH70" s="36"/>
      <c r="AI70" s="22"/>
    </row>
    <row r="71" spans="1:35" ht="12.75">
      <c r="A71" s="80">
        <v>63.935</v>
      </c>
      <c r="B71" s="9" t="s">
        <v>44</v>
      </c>
      <c r="C71" s="1" t="s">
        <v>58</v>
      </c>
      <c r="D71" s="1" t="s">
        <v>52</v>
      </c>
      <c r="E71" s="2" t="s">
        <v>46</v>
      </c>
      <c r="F71" s="11">
        <v>24</v>
      </c>
      <c r="G71" s="13">
        <v>25</v>
      </c>
      <c r="H71" s="43"/>
      <c r="I71" s="44"/>
      <c r="J71" s="2">
        <v>270</v>
      </c>
      <c r="K71" s="9">
        <v>15</v>
      </c>
      <c r="L71" s="9">
        <v>180</v>
      </c>
      <c r="M71" s="9">
        <v>9</v>
      </c>
      <c r="N71" s="9"/>
      <c r="O71" s="34"/>
      <c r="P71" s="29">
        <f t="shared" si="32"/>
        <v>-0.1511040899040734</v>
      </c>
      <c r="Q71" s="29">
        <f t="shared" si="33"/>
        <v>-0.25563255317172684</v>
      </c>
      <c r="R71" s="29">
        <f t="shared" si="34"/>
        <v>-0.9540336765054371</v>
      </c>
      <c r="S71" s="10">
        <f t="shared" si="35"/>
        <v>239.41271827732487</v>
      </c>
      <c r="T71" s="10">
        <f t="shared" si="40"/>
        <v>-72.71075654169157</v>
      </c>
      <c r="U71" s="18">
        <f t="shared" si="36"/>
        <v>239.41271827732487</v>
      </c>
      <c r="V71" s="10">
        <f t="shared" si="22"/>
        <v>149.41271827732487</v>
      </c>
      <c r="W71" s="19">
        <f t="shared" si="37"/>
        <v>17.289243458308434</v>
      </c>
      <c r="X71" s="35"/>
      <c r="Y71" s="37"/>
      <c r="Z71" s="22"/>
      <c r="AA71" s="2">
        <v>0</v>
      </c>
      <c r="AB71" s="9">
        <v>57</v>
      </c>
      <c r="AC71" s="26"/>
      <c r="AD71" s="27"/>
      <c r="AE71" s="18">
        <f t="shared" si="38"/>
        <v>239.41271827732487</v>
      </c>
      <c r="AF71" s="10">
        <f t="shared" si="30"/>
        <v>149.41271827732487</v>
      </c>
      <c r="AG71" s="10">
        <f t="shared" si="39"/>
        <v>17.289243458308434</v>
      </c>
      <c r="AH71" s="36"/>
      <c r="AI71" s="22"/>
    </row>
    <row r="72" spans="1:35" ht="12.75">
      <c r="A72" s="80">
        <v>63.065</v>
      </c>
      <c r="B72" s="9" t="s">
        <v>44</v>
      </c>
      <c r="C72" s="1" t="s">
        <v>59</v>
      </c>
      <c r="D72" s="1">
        <v>1</v>
      </c>
      <c r="E72" s="2" t="s">
        <v>46</v>
      </c>
      <c r="F72" s="11">
        <v>6.5</v>
      </c>
      <c r="G72" s="13">
        <v>6.5</v>
      </c>
      <c r="H72" s="43"/>
      <c r="I72" s="44"/>
      <c r="J72" s="2">
        <v>270</v>
      </c>
      <c r="K72" s="9">
        <v>2</v>
      </c>
      <c r="L72" s="9">
        <v>0</v>
      </c>
      <c r="M72" s="9">
        <v>6</v>
      </c>
      <c r="N72" s="9"/>
      <c r="O72" s="34"/>
      <c r="P72" s="29">
        <f t="shared" si="32"/>
        <v>-0.10446478735209536</v>
      </c>
      <c r="Q72" s="29">
        <f t="shared" si="33"/>
        <v>0.03470831360797009</v>
      </c>
      <c r="R72" s="29">
        <f t="shared" si="34"/>
        <v>0.9939160595006973</v>
      </c>
      <c r="S72" s="10">
        <f t="shared" si="35"/>
        <v>161.62098802250347</v>
      </c>
      <c r="T72" s="10">
        <f t="shared" si="40"/>
        <v>83.68004299396074</v>
      </c>
      <c r="U72" s="18">
        <f t="shared" si="36"/>
        <v>341.62098802250347</v>
      </c>
      <c r="V72" s="10">
        <f t="shared" si="22"/>
        <v>251.62098802250347</v>
      </c>
      <c r="W72" s="19">
        <f t="shared" si="37"/>
        <v>6.31995700603926</v>
      </c>
      <c r="X72" s="35"/>
      <c r="Y72" s="37"/>
      <c r="Z72" s="22"/>
      <c r="AA72" s="2">
        <v>0</v>
      </c>
      <c r="AB72" s="9">
        <v>131</v>
      </c>
      <c r="AC72" s="26">
        <v>337.6</v>
      </c>
      <c r="AD72" s="27">
        <v>-52.8</v>
      </c>
      <c r="AE72" s="18">
        <f t="shared" si="38"/>
        <v>184.02098802250345</v>
      </c>
      <c r="AF72" s="10">
        <f t="shared" si="30"/>
        <v>94.02098802250345</v>
      </c>
      <c r="AG72" s="10">
        <f t="shared" si="39"/>
        <v>6.31995700603926</v>
      </c>
      <c r="AH72" s="36"/>
      <c r="AI72" s="22"/>
    </row>
    <row r="73" spans="1:35" ht="12.75">
      <c r="A73" s="80">
        <v>63.22</v>
      </c>
      <c r="B73" s="9" t="s">
        <v>44</v>
      </c>
      <c r="C73" s="1" t="s">
        <v>59</v>
      </c>
      <c r="D73" s="1">
        <v>1</v>
      </c>
      <c r="E73" s="2" t="s">
        <v>46</v>
      </c>
      <c r="F73" s="11">
        <v>22</v>
      </c>
      <c r="G73" s="13">
        <v>22</v>
      </c>
      <c r="H73" s="43"/>
      <c r="I73" s="44"/>
      <c r="J73" s="2">
        <v>270</v>
      </c>
      <c r="K73" s="9">
        <v>8</v>
      </c>
      <c r="L73" s="9">
        <v>0</v>
      </c>
      <c r="M73" s="9">
        <v>7</v>
      </c>
      <c r="N73" s="9"/>
      <c r="O73" s="34"/>
      <c r="P73" s="29">
        <f t="shared" si="32"/>
        <v>-0.12068331933261862</v>
      </c>
      <c r="Q73" s="29">
        <f t="shared" si="33"/>
        <v>0.13813572576990216</v>
      </c>
      <c r="R73" s="29">
        <f t="shared" si="34"/>
        <v>0.9828867607227297</v>
      </c>
      <c r="S73" s="10">
        <f t="shared" si="35"/>
        <v>131.14233262445447</v>
      </c>
      <c r="T73" s="10">
        <f t="shared" si="40"/>
        <v>79.42894908769492</v>
      </c>
      <c r="U73" s="18">
        <f t="shared" si="36"/>
        <v>311.14233262445447</v>
      </c>
      <c r="V73" s="10">
        <f t="shared" si="22"/>
        <v>221.14233262445447</v>
      </c>
      <c r="W73" s="19">
        <f t="shared" si="37"/>
        <v>10.571050912305083</v>
      </c>
      <c r="X73" s="35"/>
      <c r="Y73" s="37"/>
      <c r="Z73" s="22"/>
      <c r="AA73" s="2">
        <v>0</v>
      </c>
      <c r="AB73" s="9">
        <v>131</v>
      </c>
      <c r="AC73" s="26">
        <v>343.2</v>
      </c>
      <c r="AD73" s="27">
        <v>-21.9</v>
      </c>
      <c r="AE73" s="18">
        <f t="shared" si="38"/>
        <v>147.94233262445448</v>
      </c>
      <c r="AF73" s="10">
        <f t="shared" si="30"/>
        <v>57.94233262445448</v>
      </c>
      <c r="AG73" s="10">
        <f t="shared" si="39"/>
        <v>10.571050912305083</v>
      </c>
      <c r="AH73" s="36"/>
      <c r="AI73" s="22"/>
    </row>
    <row r="74" spans="1:35" ht="12.75">
      <c r="A74" s="80">
        <v>63.51</v>
      </c>
      <c r="B74" s="9" t="s">
        <v>44</v>
      </c>
      <c r="C74" s="1" t="s">
        <v>59</v>
      </c>
      <c r="D74" s="1">
        <v>1</v>
      </c>
      <c r="E74" s="2" t="s">
        <v>46</v>
      </c>
      <c r="F74" s="11">
        <v>51</v>
      </c>
      <c r="G74" s="13">
        <v>51</v>
      </c>
      <c r="H74" s="43"/>
      <c r="I74" s="44"/>
      <c r="J74" s="2">
        <v>270</v>
      </c>
      <c r="K74" s="9">
        <v>5</v>
      </c>
      <c r="L74" s="9">
        <v>180</v>
      </c>
      <c r="M74" s="9">
        <v>1</v>
      </c>
      <c r="N74" s="9"/>
      <c r="O74" s="34"/>
      <c r="P74" s="29">
        <f t="shared" si="32"/>
        <v>-0.017385994761764095</v>
      </c>
      <c r="Q74" s="29">
        <f t="shared" si="33"/>
        <v>-0.08714246850588939</v>
      </c>
      <c r="R74" s="29">
        <f t="shared" si="34"/>
        <v>-0.9960429728140489</v>
      </c>
      <c r="S74" s="10">
        <f t="shared" si="35"/>
        <v>258.71693817947005</v>
      </c>
      <c r="T74" s="10">
        <f t="shared" si="40"/>
        <v>-84.90197245232014</v>
      </c>
      <c r="U74" s="18">
        <f t="shared" si="36"/>
        <v>258.71693817947005</v>
      </c>
      <c r="V74" s="10">
        <f t="shared" si="22"/>
        <v>168.71693817947005</v>
      </c>
      <c r="W74" s="19">
        <f t="shared" si="37"/>
        <v>5.098027547679862</v>
      </c>
      <c r="X74" s="35"/>
      <c r="Y74" s="37"/>
      <c r="Z74" s="22"/>
      <c r="AA74" s="2">
        <v>0</v>
      </c>
      <c r="AB74" s="9">
        <v>131</v>
      </c>
      <c r="AC74" s="26">
        <v>336.8</v>
      </c>
      <c r="AD74" s="27">
        <v>11</v>
      </c>
      <c r="AE74" s="18">
        <f t="shared" si="38"/>
        <v>281.91693817947004</v>
      </c>
      <c r="AF74" s="10">
        <f t="shared" si="30"/>
        <v>191.91693817947004</v>
      </c>
      <c r="AG74" s="10">
        <f t="shared" si="39"/>
        <v>5.098027547679862</v>
      </c>
      <c r="AH74" s="36"/>
      <c r="AI74" s="22"/>
    </row>
    <row r="75" spans="1:35" ht="12.75">
      <c r="A75" s="80">
        <v>63.65</v>
      </c>
      <c r="B75" s="9" t="s">
        <v>44</v>
      </c>
      <c r="C75" s="1" t="s">
        <v>59</v>
      </c>
      <c r="D75" s="1">
        <v>1</v>
      </c>
      <c r="E75" s="2" t="s">
        <v>46</v>
      </c>
      <c r="F75" s="11">
        <v>65</v>
      </c>
      <c r="G75" s="13">
        <v>65</v>
      </c>
      <c r="H75" s="43"/>
      <c r="I75" s="44"/>
      <c r="J75" s="2">
        <v>90</v>
      </c>
      <c r="K75" s="9">
        <v>5</v>
      </c>
      <c r="L75" s="9">
        <v>0</v>
      </c>
      <c r="M75" s="9">
        <v>6</v>
      </c>
      <c r="N75" s="9"/>
      <c r="O75" s="34"/>
      <c r="P75" s="29">
        <f t="shared" si="32"/>
        <v>0.10413070090691415</v>
      </c>
      <c r="Q75" s="29">
        <f t="shared" si="33"/>
        <v>0.08667829446963064</v>
      </c>
      <c r="R75" s="29">
        <f t="shared" si="34"/>
        <v>-0.9907374393020275</v>
      </c>
      <c r="S75" s="10">
        <f t="shared" si="35"/>
        <v>39.773964143793556</v>
      </c>
      <c r="T75" s="10">
        <f t="shared" si="40"/>
        <v>-82.21297801271761</v>
      </c>
      <c r="U75" s="18">
        <f t="shared" si="36"/>
        <v>39.773964143793556</v>
      </c>
      <c r="V75" s="10">
        <f t="shared" si="22"/>
        <v>309.77396414379353</v>
      </c>
      <c r="W75" s="19">
        <f t="shared" si="37"/>
        <v>7.787021987282387</v>
      </c>
      <c r="X75" s="35"/>
      <c r="Y75" s="37"/>
      <c r="Z75" s="22"/>
      <c r="AA75" s="2">
        <v>0</v>
      </c>
      <c r="AB75" s="9">
        <v>131</v>
      </c>
      <c r="AC75" s="26">
        <v>339.4</v>
      </c>
      <c r="AD75" s="27">
        <v>2.7</v>
      </c>
      <c r="AE75" s="18">
        <f t="shared" si="38"/>
        <v>60.37396414379356</v>
      </c>
      <c r="AF75" s="10">
        <f t="shared" si="30"/>
        <v>330.37396414379356</v>
      </c>
      <c r="AG75" s="10">
        <f t="shared" si="39"/>
        <v>7.787021987282387</v>
      </c>
      <c r="AH75" s="36"/>
      <c r="AI75" s="22"/>
    </row>
    <row r="76" spans="1:35" s="39" customFormat="1" ht="21">
      <c r="A76" s="81">
        <v>63.8</v>
      </c>
      <c r="B76" s="9" t="s">
        <v>44</v>
      </c>
      <c r="C76" s="1" t="s">
        <v>59</v>
      </c>
      <c r="D76" s="1">
        <v>1</v>
      </c>
      <c r="E76" s="2" t="s">
        <v>46</v>
      </c>
      <c r="F76" s="41">
        <v>80</v>
      </c>
      <c r="G76" s="42">
        <v>80</v>
      </c>
      <c r="H76" s="43"/>
      <c r="I76" s="44"/>
      <c r="J76" s="40">
        <v>90</v>
      </c>
      <c r="K76" s="45">
        <v>6</v>
      </c>
      <c r="L76" s="45">
        <v>180</v>
      </c>
      <c r="M76" s="45">
        <v>1</v>
      </c>
      <c r="N76" s="45"/>
      <c r="O76" s="46"/>
      <c r="P76" s="47">
        <f t="shared" si="32"/>
        <v>0.017356800328744638</v>
      </c>
      <c r="Q76" s="47">
        <f t="shared" si="33"/>
        <v>-0.10451254307640281</v>
      </c>
      <c r="R76" s="47">
        <f t="shared" si="34"/>
        <v>0.9943704248665338</v>
      </c>
      <c r="S76" s="48">
        <f t="shared" si="35"/>
        <v>279.42927109941905</v>
      </c>
      <c r="T76" s="48">
        <f t="shared" si="40"/>
        <v>83.91843294872983</v>
      </c>
      <c r="U76" s="49">
        <f t="shared" si="36"/>
        <v>99.42927109941905</v>
      </c>
      <c r="V76" s="48">
        <f t="shared" si="22"/>
        <v>9.429271099419054</v>
      </c>
      <c r="W76" s="50">
        <f t="shared" si="37"/>
        <v>6.08156705127017</v>
      </c>
      <c r="X76" s="51"/>
      <c r="Y76" s="52"/>
      <c r="Z76" s="53"/>
      <c r="AA76" s="2">
        <v>0</v>
      </c>
      <c r="AB76" s="9">
        <v>131</v>
      </c>
      <c r="AC76" s="54">
        <v>320.3</v>
      </c>
      <c r="AD76" s="55">
        <v>10.2</v>
      </c>
      <c r="AE76" s="49">
        <f t="shared" si="38"/>
        <v>139.12927109941904</v>
      </c>
      <c r="AF76" s="48">
        <f t="shared" si="30"/>
        <v>49.12927109941904</v>
      </c>
      <c r="AG76" s="48">
        <f t="shared" si="39"/>
        <v>6.08156705127017</v>
      </c>
      <c r="AH76" s="56"/>
      <c r="AI76" s="53"/>
    </row>
    <row r="77" spans="1:35" s="39" customFormat="1" ht="21">
      <c r="A77" s="81">
        <v>63.98</v>
      </c>
      <c r="B77" s="9" t="s">
        <v>44</v>
      </c>
      <c r="C77" s="1" t="s">
        <v>59</v>
      </c>
      <c r="D77" s="1">
        <v>1</v>
      </c>
      <c r="E77" s="2" t="s">
        <v>46</v>
      </c>
      <c r="F77" s="41">
        <v>98</v>
      </c>
      <c r="G77" s="42">
        <v>98</v>
      </c>
      <c r="H77" s="43"/>
      <c r="I77" s="44"/>
      <c r="J77" s="40">
        <v>90</v>
      </c>
      <c r="K77" s="45">
        <v>1</v>
      </c>
      <c r="L77" s="45">
        <v>180</v>
      </c>
      <c r="M77" s="45">
        <v>2</v>
      </c>
      <c r="N77" s="45"/>
      <c r="O77" s="46"/>
      <c r="P77" s="47">
        <f t="shared" si="32"/>
        <v>0.03489418134011367</v>
      </c>
      <c r="Q77" s="47">
        <f t="shared" si="33"/>
        <v>-0.01744177490283016</v>
      </c>
      <c r="R77" s="47">
        <f t="shared" si="34"/>
        <v>0.9992386149554826</v>
      </c>
      <c r="S77" s="48">
        <f t="shared" si="35"/>
        <v>333.4419319834189</v>
      </c>
      <c r="T77" s="48">
        <f t="shared" si="40"/>
        <v>87.76429506217735</v>
      </c>
      <c r="U77" s="49">
        <f t="shared" si="36"/>
        <v>153.4419319834189</v>
      </c>
      <c r="V77" s="48">
        <f t="shared" si="22"/>
        <v>63.4419319834189</v>
      </c>
      <c r="W77" s="50">
        <f t="shared" si="37"/>
        <v>2.2357049378226463</v>
      </c>
      <c r="X77" s="51"/>
      <c r="Y77" s="52"/>
      <c r="Z77" s="53"/>
      <c r="AA77" s="2">
        <v>0</v>
      </c>
      <c r="AB77" s="9">
        <v>131</v>
      </c>
      <c r="AC77" s="54">
        <v>295.2</v>
      </c>
      <c r="AD77" s="55">
        <v>57.2</v>
      </c>
      <c r="AE77" s="49">
        <f t="shared" si="38"/>
        <v>218.2419319834189</v>
      </c>
      <c r="AF77" s="48">
        <f t="shared" si="30"/>
        <v>128.2419319834189</v>
      </c>
      <c r="AG77" s="48">
        <f t="shared" si="39"/>
        <v>2.2357049378226463</v>
      </c>
      <c r="AH77" s="56"/>
      <c r="AI77" s="53"/>
    </row>
    <row r="78" spans="1:35" s="39" customFormat="1" ht="12.75">
      <c r="A78" s="81">
        <v>64.16</v>
      </c>
      <c r="B78" s="9" t="s">
        <v>44</v>
      </c>
      <c r="C78" s="1" t="s">
        <v>59</v>
      </c>
      <c r="D78" s="1">
        <v>1</v>
      </c>
      <c r="E78" s="2" t="s">
        <v>46</v>
      </c>
      <c r="F78" s="41">
        <v>116</v>
      </c>
      <c r="G78" s="42">
        <v>116</v>
      </c>
      <c r="H78" s="43"/>
      <c r="I78" s="44"/>
      <c r="J78" s="40">
        <v>90</v>
      </c>
      <c r="K78" s="45">
        <v>0</v>
      </c>
      <c r="L78" s="45">
        <v>0</v>
      </c>
      <c r="M78" s="45">
        <v>13</v>
      </c>
      <c r="N78" s="45"/>
      <c r="O78" s="46"/>
      <c r="P78" s="47">
        <f t="shared" si="32"/>
        <v>0.224951054343865</v>
      </c>
      <c r="Q78" s="47">
        <f t="shared" si="33"/>
        <v>-1.3774279433351828E-17</v>
      </c>
      <c r="R78" s="47">
        <f t="shared" si="34"/>
        <v>-0.9743700647852352</v>
      </c>
      <c r="S78" s="48">
        <f t="shared" si="35"/>
        <v>360</v>
      </c>
      <c r="T78" s="48">
        <f t="shared" si="40"/>
        <v>-77.00000000000003</v>
      </c>
      <c r="U78" s="49">
        <f t="shared" si="36"/>
        <v>360</v>
      </c>
      <c r="V78" s="48">
        <f t="shared" si="22"/>
        <v>270</v>
      </c>
      <c r="W78" s="50">
        <f t="shared" si="37"/>
        <v>12.999999999999972</v>
      </c>
      <c r="X78" s="51"/>
      <c r="Y78" s="52"/>
      <c r="Z78" s="53"/>
      <c r="AA78" s="2">
        <v>0</v>
      </c>
      <c r="AB78" s="9">
        <v>131</v>
      </c>
      <c r="AC78" s="54">
        <v>244.8</v>
      </c>
      <c r="AD78" s="55">
        <v>-38.9</v>
      </c>
      <c r="AE78" s="49">
        <f t="shared" si="38"/>
        <v>295.2</v>
      </c>
      <c r="AF78" s="48">
        <f t="shared" si="30"/>
        <v>205.2</v>
      </c>
      <c r="AG78" s="48">
        <f t="shared" si="39"/>
        <v>12.999999999999972</v>
      </c>
      <c r="AH78" s="56"/>
      <c r="AI78" s="53"/>
    </row>
    <row r="79" spans="1:35" s="39" customFormat="1" ht="12.75">
      <c r="A79" s="81">
        <v>64.42</v>
      </c>
      <c r="B79" s="9" t="s">
        <v>44</v>
      </c>
      <c r="C79" s="1" t="s">
        <v>59</v>
      </c>
      <c r="D79" s="1">
        <v>2</v>
      </c>
      <c r="E79" s="2" t="s">
        <v>46</v>
      </c>
      <c r="F79" s="41">
        <v>9</v>
      </c>
      <c r="G79" s="42">
        <v>10</v>
      </c>
      <c r="H79" s="43"/>
      <c r="I79" s="44"/>
      <c r="J79" s="40">
        <v>270</v>
      </c>
      <c r="K79" s="45">
        <v>4</v>
      </c>
      <c r="L79" s="45">
        <v>0</v>
      </c>
      <c r="M79" s="45">
        <v>7</v>
      </c>
      <c r="N79" s="45"/>
      <c r="O79" s="46"/>
      <c r="P79" s="47">
        <f t="shared" si="32"/>
        <v>-0.12157247580974431</v>
      </c>
      <c r="Q79" s="47">
        <f t="shared" si="33"/>
        <v>0.06923651956680052</v>
      </c>
      <c r="R79" s="47">
        <f t="shared" si="34"/>
        <v>0.9901283591011188</v>
      </c>
      <c r="S79" s="48">
        <f t="shared" si="35"/>
        <v>150.338133208521</v>
      </c>
      <c r="T79" s="48">
        <f t="shared" si="40"/>
        <v>81.95732666086839</v>
      </c>
      <c r="U79" s="49">
        <f t="shared" si="36"/>
        <v>330.33813320852096</v>
      </c>
      <c r="V79" s="48">
        <f t="shared" si="22"/>
        <v>240.33813320852096</v>
      </c>
      <c r="W79" s="50">
        <f t="shared" si="37"/>
        <v>8.04267333913161</v>
      </c>
      <c r="X79" s="51"/>
      <c r="Y79" s="52"/>
      <c r="Z79" s="53"/>
      <c r="AA79" s="40">
        <v>0</v>
      </c>
      <c r="AB79" s="43">
        <v>130</v>
      </c>
      <c r="AC79" s="54">
        <v>320.1</v>
      </c>
      <c r="AD79" s="55">
        <v>-31.9</v>
      </c>
      <c r="AE79" s="49">
        <f t="shared" si="38"/>
        <v>190.23813320852094</v>
      </c>
      <c r="AF79" s="48">
        <f t="shared" si="30"/>
        <v>100.23813320852094</v>
      </c>
      <c r="AG79" s="48">
        <f t="shared" si="39"/>
        <v>8.04267333913161</v>
      </c>
      <c r="AH79" s="56"/>
      <c r="AI79" s="53"/>
    </row>
    <row r="80" spans="1:35" s="39" customFormat="1" ht="12.75">
      <c r="A80" s="81">
        <v>64.535</v>
      </c>
      <c r="B80" s="9" t="s">
        <v>44</v>
      </c>
      <c r="C80" s="1" t="s">
        <v>59</v>
      </c>
      <c r="D80" s="1">
        <v>2</v>
      </c>
      <c r="E80" s="2" t="s">
        <v>46</v>
      </c>
      <c r="F80" s="41">
        <v>20.5</v>
      </c>
      <c r="G80" s="42">
        <v>20.5</v>
      </c>
      <c r="H80" s="43"/>
      <c r="I80" s="44"/>
      <c r="J80" s="40">
        <v>270</v>
      </c>
      <c r="K80" s="45">
        <v>5</v>
      </c>
      <c r="L80" s="45">
        <v>180</v>
      </c>
      <c r="M80" s="45">
        <v>5</v>
      </c>
      <c r="N80" s="45"/>
      <c r="O80" s="46"/>
      <c r="P80" s="47">
        <f t="shared" si="32"/>
        <v>-0.08682408883346518</v>
      </c>
      <c r="Q80" s="47">
        <f t="shared" si="33"/>
        <v>-0.08682408883346515</v>
      </c>
      <c r="R80" s="47">
        <f t="shared" si="34"/>
        <v>-0.9924038765061041</v>
      </c>
      <c r="S80" s="48">
        <f t="shared" si="35"/>
        <v>225</v>
      </c>
      <c r="T80" s="48">
        <f t="shared" si="40"/>
        <v>-82.9467733432013</v>
      </c>
      <c r="U80" s="49">
        <f t="shared" si="36"/>
        <v>225</v>
      </c>
      <c r="V80" s="48">
        <f t="shared" si="22"/>
        <v>135</v>
      </c>
      <c r="W80" s="50">
        <f t="shared" si="37"/>
        <v>7.053226656798699</v>
      </c>
      <c r="X80" s="51"/>
      <c r="Y80" s="52"/>
      <c r="Z80" s="53"/>
      <c r="AA80" s="40">
        <v>0</v>
      </c>
      <c r="AB80" s="43">
        <v>130</v>
      </c>
      <c r="AC80" s="54">
        <v>90.7</v>
      </c>
      <c r="AD80" s="55">
        <v>-54.6</v>
      </c>
      <c r="AE80" s="49">
        <f t="shared" si="38"/>
        <v>314.3</v>
      </c>
      <c r="AF80" s="48">
        <f t="shared" si="30"/>
        <v>224.3</v>
      </c>
      <c r="AG80" s="48">
        <f t="shared" si="39"/>
        <v>7.053226656798699</v>
      </c>
      <c r="AH80" s="56"/>
      <c r="AI80" s="53"/>
    </row>
    <row r="81" spans="1:35" s="39" customFormat="1" ht="12.75">
      <c r="A81" s="81">
        <v>64.905</v>
      </c>
      <c r="B81" s="9" t="s">
        <v>44</v>
      </c>
      <c r="C81" s="1" t="s">
        <v>59</v>
      </c>
      <c r="D81" s="1">
        <v>2</v>
      </c>
      <c r="E81" s="2" t="s">
        <v>46</v>
      </c>
      <c r="F81" s="41">
        <v>57.5</v>
      </c>
      <c r="G81" s="42">
        <v>59</v>
      </c>
      <c r="H81" s="43"/>
      <c r="I81" s="44"/>
      <c r="J81" s="40">
        <v>270</v>
      </c>
      <c r="K81" s="45">
        <v>11</v>
      </c>
      <c r="L81" s="45">
        <v>0</v>
      </c>
      <c r="M81" s="45">
        <v>5</v>
      </c>
      <c r="N81" s="45"/>
      <c r="O81" s="46"/>
      <c r="P81" s="47">
        <f t="shared" si="32"/>
        <v>-0.08555444627467285</v>
      </c>
      <c r="Q81" s="47">
        <f t="shared" si="33"/>
        <v>0.19008290954232634</v>
      </c>
      <c r="R81" s="47">
        <f t="shared" si="34"/>
        <v>0.9778917956532961</v>
      </c>
      <c r="S81" s="48">
        <f t="shared" si="35"/>
        <v>114.23204082196979</v>
      </c>
      <c r="T81" s="48">
        <f t="shared" si="40"/>
        <v>77.96682320895555</v>
      </c>
      <c r="U81" s="49">
        <f t="shared" si="36"/>
        <v>294.2320408219698</v>
      </c>
      <c r="V81" s="48">
        <f t="shared" si="22"/>
        <v>204.2320408219698</v>
      </c>
      <c r="W81" s="50">
        <f t="shared" si="37"/>
        <v>12.033176791044454</v>
      </c>
      <c r="X81" s="51"/>
      <c r="Y81" s="52"/>
      <c r="Z81" s="53"/>
      <c r="AA81" s="40">
        <v>0</v>
      </c>
      <c r="AB81" s="43">
        <v>130</v>
      </c>
      <c r="AC81" s="54">
        <v>55.5</v>
      </c>
      <c r="AD81" s="55">
        <v>7.6</v>
      </c>
      <c r="AE81" s="49">
        <f t="shared" si="38"/>
        <v>238.7320408219698</v>
      </c>
      <c r="AF81" s="48">
        <f t="shared" si="30"/>
        <v>148.7320408219698</v>
      </c>
      <c r="AG81" s="48">
        <f t="shared" si="39"/>
        <v>12.033176791044454</v>
      </c>
      <c r="AH81" s="56"/>
      <c r="AI81" s="53"/>
    </row>
    <row r="82" spans="1:35" s="39" customFormat="1" ht="12.75">
      <c r="A82" s="81">
        <v>65.14</v>
      </c>
      <c r="B82" s="9" t="s">
        <v>44</v>
      </c>
      <c r="C82" s="1" t="s">
        <v>59</v>
      </c>
      <c r="D82" s="1">
        <v>2</v>
      </c>
      <c r="E82" s="2" t="s">
        <v>46</v>
      </c>
      <c r="F82" s="41">
        <v>81</v>
      </c>
      <c r="G82" s="42">
        <v>81</v>
      </c>
      <c r="H82" s="43"/>
      <c r="I82" s="44"/>
      <c r="J82" s="40">
        <v>90</v>
      </c>
      <c r="K82" s="45">
        <v>2</v>
      </c>
      <c r="L82" s="45">
        <v>180</v>
      </c>
      <c r="M82" s="45">
        <v>1</v>
      </c>
      <c r="N82" s="45"/>
      <c r="O82" s="46"/>
      <c r="P82" s="47">
        <f t="shared" si="32"/>
        <v>0.017441774902830155</v>
      </c>
      <c r="Q82" s="47">
        <f t="shared" si="33"/>
        <v>-0.03489418134011367</v>
      </c>
      <c r="R82" s="47">
        <f t="shared" si="34"/>
        <v>0.9992386149554826</v>
      </c>
      <c r="S82" s="48">
        <f t="shared" si="35"/>
        <v>296.5580680165811</v>
      </c>
      <c r="T82" s="48">
        <f t="shared" si="40"/>
        <v>87.76429506217735</v>
      </c>
      <c r="U82" s="49">
        <f t="shared" si="36"/>
        <v>116.5580680165811</v>
      </c>
      <c r="V82" s="48">
        <f t="shared" si="22"/>
        <v>26.558068016581103</v>
      </c>
      <c r="W82" s="50">
        <f t="shared" si="37"/>
        <v>2.2357049378226463</v>
      </c>
      <c r="X82" s="51"/>
      <c r="Y82" s="52"/>
      <c r="Z82" s="53"/>
      <c r="AA82" s="40">
        <v>0</v>
      </c>
      <c r="AB82" s="43">
        <v>130</v>
      </c>
      <c r="AC82" s="54">
        <v>139.9</v>
      </c>
      <c r="AD82" s="55">
        <v>-16.8</v>
      </c>
      <c r="AE82" s="49">
        <f t="shared" si="38"/>
        <v>156.6580680165811</v>
      </c>
      <c r="AF82" s="48">
        <f t="shared" si="30"/>
        <v>66.6580680165811</v>
      </c>
      <c r="AG82" s="48">
        <f t="shared" si="39"/>
        <v>2.2357049378226463</v>
      </c>
      <c r="AH82" s="56"/>
      <c r="AI82" s="53"/>
    </row>
    <row r="83" spans="1:35" s="39" customFormat="1" ht="12.75">
      <c r="A83" s="81">
        <v>65.29</v>
      </c>
      <c r="B83" s="9" t="s">
        <v>44</v>
      </c>
      <c r="C83" s="1" t="s">
        <v>59</v>
      </c>
      <c r="D83" s="1">
        <v>2</v>
      </c>
      <c r="E83" s="2" t="s">
        <v>46</v>
      </c>
      <c r="F83" s="41">
        <v>96</v>
      </c>
      <c r="G83" s="42">
        <v>96</v>
      </c>
      <c r="H83" s="43"/>
      <c r="I83" s="44"/>
      <c r="J83" s="40">
        <v>90</v>
      </c>
      <c r="K83" s="45">
        <v>1</v>
      </c>
      <c r="L83" s="45">
        <v>0</v>
      </c>
      <c r="M83" s="45">
        <v>8</v>
      </c>
      <c r="N83" s="45"/>
      <c r="O83" s="46"/>
      <c r="P83" s="47">
        <f t="shared" si="32"/>
        <v>0.13915190422268917</v>
      </c>
      <c r="Q83" s="47">
        <f t="shared" si="33"/>
        <v>0.017282560817541686</v>
      </c>
      <c r="R83" s="47">
        <f t="shared" si="34"/>
        <v>-0.9901172461182299</v>
      </c>
      <c r="S83" s="48">
        <f t="shared" si="35"/>
        <v>7.079837613798586</v>
      </c>
      <c r="T83" s="48">
        <f t="shared" si="40"/>
        <v>-81.93933913248243</v>
      </c>
      <c r="U83" s="49">
        <f t="shared" si="36"/>
        <v>7.079837613798586</v>
      </c>
      <c r="V83" s="48">
        <f t="shared" si="22"/>
        <v>277.0798376137986</v>
      </c>
      <c r="W83" s="50">
        <f t="shared" si="37"/>
        <v>8.06066086751757</v>
      </c>
      <c r="X83" s="51"/>
      <c r="Y83" s="52"/>
      <c r="Z83" s="53"/>
      <c r="AA83" s="40">
        <v>0</v>
      </c>
      <c r="AB83" s="43">
        <v>130</v>
      </c>
      <c r="AC83" s="54">
        <v>186.4</v>
      </c>
      <c r="AD83" s="55">
        <v>-10.4</v>
      </c>
      <c r="AE83" s="49">
        <f t="shared" si="38"/>
        <v>0.6798376137985827</v>
      </c>
      <c r="AF83" s="48">
        <f t="shared" si="30"/>
        <v>270.67983761379855</v>
      </c>
      <c r="AG83" s="48">
        <f t="shared" si="39"/>
        <v>8.06066086751757</v>
      </c>
      <c r="AH83" s="56"/>
      <c r="AI83" s="53"/>
    </row>
    <row r="84" spans="1:36" s="39" customFormat="1" ht="12.75">
      <c r="A84" s="81">
        <v>65.49</v>
      </c>
      <c r="B84" s="9" t="s">
        <v>44</v>
      </c>
      <c r="C84" s="1" t="s">
        <v>59</v>
      </c>
      <c r="D84" s="1">
        <v>2</v>
      </c>
      <c r="E84" s="2" t="s">
        <v>47</v>
      </c>
      <c r="F84" s="41">
        <v>116</v>
      </c>
      <c r="G84" s="42">
        <v>122</v>
      </c>
      <c r="H84" s="43"/>
      <c r="I84" s="44"/>
      <c r="J84" s="40">
        <v>270</v>
      </c>
      <c r="K84" s="45">
        <v>56</v>
      </c>
      <c r="L84" s="45">
        <v>147</v>
      </c>
      <c r="M84" s="45">
        <v>0</v>
      </c>
      <c r="N84" s="45"/>
      <c r="O84" s="46"/>
      <c r="P84" s="47">
        <f t="shared" si="32"/>
        <v>-0.4515262235075782</v>
      </c>
      <c r="Q84" s="47">
        <f t="shared" si="33"/>
        <v>-0.6952894118228325</v>
      </c>
      <c r="R84" s="47">
        <f t="shared" si="34"/>
        <v>-0.4689786299448621</v>
      </c>
      <c r="S84" s="48">
        <f t="shared" si="35"/>
        <v>237</v>
      </c>
      <c r="T84" s="48">
        <f t="shared" si="40"/>
        <v>-29.496426218108425</v>
      </c>
      <c r="U84" s="49">
        <f t="shared" si="36"/>
        <v>237</v>
      </c>
      <c r="V84" s="48">
        <f t="shared" si="22"/>
        <v>147</v>
      </c>
      <c r="W84" s="50">
        <f t="shared" si="37"/>
        <v>60.503573781891575</v>
      </c>
      <c r="X84" s="51"/>
      <c r="Y84" s="52"/>
      <c r="Z84" s="53" t="s">
        <v>48</v>
      </c>
      <c r="AA84" s="40">
        <v>0</v>
      </c>
      <c r="AB84" s="43">
        <v>130</v>
      </c>
      <c r="AC84" s="54">
        <v>187.2</v>
      </c>
      <c r="AD84" s="55">
        <v>-23.8</v>
      </c>
      <c r="AE84" s="49">
        <f t="shared" si="38"/>
        <v>229.8</v>
      </c>
      <c r="AF84" s="48">
        <f t="shared" si="30"/>
        <v>139.8</v>
      </c>
      <c r="AG84" s="48">
        <f t="shared" si="39"/>
        <v>60.503573781891575</v>
      </c>
      <c r="AH84" s="56"/>
      <c r="AI84" s="53" t="str">
        <f>Z84</f>
        <v>N</v>
      </c>
      <c r="AJ84" s="39" t="s">
        <v>60</v>
      </c>
    </row>
    <row r="85" spans="1:35" s="39" customFormat="1" ht="12.75">
      <c r="A85" s="81">
        <v>65.72</v>
      </c>
      <c r="B85" s="9" t="s">
        <v>44</v>
      </c>
      <c r="C85" s="1" t="s">
        <v>59</v>
      </c>
      <c r="D85" s="1">
        <v>3</v>
      </c>
      <c r="E85" s="2" t="s">
        <v>46</v>
      </c>
      <c r="F85" s="41">
        <v>9</v>
      </c>
      <c r="G85" s="42">
        <v>9</v>
      </c>
      <c r="H85" s="43"/>
      <c r="I85" s="44"/>
      <c r="J85" s="40">
        <v>90</v>
      </c>
      <c r="K85" s="45">
        <v>5</v>
      </c>
      <c r="L85" s="45">
        <v>0</v>
      </c>
      <c r="M85" s="45">
        <v>1</v>
      </c>
      <c r="N85" s="45"/>
      <c r="O85" s="46"/>
      <c r="P85" s="47">
        <f t="shared" si="32"/>
        <v>0.017385994761764084</v>
      </c>
      <c r="Q85" s="47">
        <f t="shared" si="33"/>
        <v>0.08714246850588939</v>
      </c>
      <c r="R85" s="47">
        <f t="shared" si="34"/>
        <v>-0.9960429728140489</v>
      </c>
      <c r="S85" s="48">
        <f t="shared" si="35"/>
        <v>78.71693817947002</v>
      </c>
      <c r="T85" s="48">
        <f t="shared" si="40"/>
        <v>-84.90197245232014</v>
      </c>
      <c r="U85" s="49">
        <f t="shared" si="36"/>
        <v>78.71693817947002</v>
      </c>
      <c r="V85" s="48">
        <f t="shared" si="22"/>
        <v>348.71693817947005</v>
      </c>
      <c r="W85" s="50">
        <f t="shared" si="37"/>
        <v>5.098027547679862</v>
      </c>
      <c r="X85" s="51"/>
      <c r="Y85" s="52"/>
      <c r="Z85" s="53"/>
      <c r="AA85" s="40">
        <v>0</v>
      </c>
      <c r="AB85" s="43">
        <v>124</v>
      </c>
      <c r="AC85" s="54">
        <v>233.3</v>
      </c>
      <c r="AD85" s="55">
        <v>-51.9</v>
      </c>
      <c r="AE85" s="49">
        <f t="shared" si="38"/>
        <v>25.41693817947001</v>
      </c>
      <c r="AF85" s="48">
        <f t="shared" si="30"/>
        <v>295.41693817947</v>
      </c>
      <c r="AG85" s="48">
        <f t="shared" si="39"/>
        <v>5.098027547679862</v>
      </c>
      <c r="AH85" s="56"/>
      <c r="AI85" s="53"/>
    </row>
    <row r="86" spans="1:35" s="39" customFormat="1" ht="21">
      <c r="A86" s="81">
        <v>66.79</v>
      </c>
      <c r="B86" s="9" t="s">
        <v>44</v>
      </c>
      <c r="C86" s="1" t="s">
        <v>59</v>
      </c>
      <c r="D86" s="1">
        <v>3</v>
      </c>
      <c r="E86" s="2" t="s">
        <v>46</v>
      </c>
      <c r="F86" s="41">
        <v>116</v>
      </c>
      <c r="G86" s="42">
        <v>116</v>
      </c>
      <c r="H86" s="43"/>
      <c r="I86" s="44"/>
      <c r="J86" s="40">
        <v>270</v>
      </c>
      <c r="K86" s="45">
        <v>1</v>
      </c>
      <c r="L86" s="45">
        <v>0</v>
      </c>
      <c r="M86" s="45">
        <v>2</v>
      </c>
      <c r="N86" s="45"/>
      <c r="O86" s="46"/>
      <c r="P86" s="47">
        <f t="shared" si="32"/>
        <v>-0.03489418134011367</v>
      </c>
      <c r="Q86" s="47">
        <f t="shared" si="33"/>
        <v>0.017441774902830165</v>
      </c>
      <c r="R86" s="47">
        <f t="shared" si="34"/>
        <v>0.9992386149554826</v>
      </c>
      <c r="S86" s="48">
        <f t="shared" si="35"/>
        <v>153.4419319834189</v>
      </c>
      <c r="T86" s="48">
        <f t="shared" si="40"/>
        <v>87.76429506217735</v>
      </c>
      <c r="U86" s="49">
        <f t="shared" si="36"/>
        <v>333.4419319834189</v>
      </c>
      <c r="V86" s="48">
        <f t="shared" si="22"/>
        <v>243.4419319834189</v>
      </c>
      <c r="W86" s="50">
        <f t="shared" si="37"/>
        <v>2.2357049378226463</v>
      </c>
      <c r="X86" s="51"/>
      <c r="Y86" s="52"/>
      <c r="Z86" s="53"/>
      <c r="AA86" s="40">
        <v>0</v>
      </c>
      <c r="AB86" s="43">
        <v>124</v>
      </c>
      <c r="AC86" s="54">
        <v>158.9</v>
      </c>
      <c r="AD86" s="55">
        <v>14.7</v>
      </c>
      <c r="AE86" s="49">
        <f t="shared" si="38"/>
        <v>174.5419319834189</v>
      </c>
      <c r="AF86" s="48">
        <f t="shared" si="30"/>
        <v>84.54193198341889</v>
      </c>
      <c r="AG86" s="48">
        <f t="shared" si="39"/>
        <v>2.2357049378226463</v>
      </c>
      <c r="AH86" s="56"/>
      <c r="AI86" s="53"/>
    </row>
    <row r="87" spans="1:35" s="39" customFormat="1" ht="12.75">
      <c r="A87" s="81">
        <v>67.09</v>
      </c>
      <c r="B87" s="9" t="s">
        <v>44</v>
      </c>
      <c r="C87" s="1" t="s">
        <v>59</v>
      </c>
      <c r="D87" s="43">
        <v>4</v>
      </c>
      <c r="E87" s="40" t="s">
        <v>47</v>
      </c>
      <c r="F87" s="41">
        <v>15</v>
      </c>
      <c r="G87" s="42">
        <v>25</v>
      </c>
      <c r="H87" s="43"/>
      <c r="I87" s="44"/>
      <c r="J87" s="40">
        <v>270</v>
      </c>
      <c r="K87" s="45">
        <v>55</v>
      </c>
      <c r="L87" s="45">
        <v>180</v>
      </c>
      <c r="M87" s="45">
        <v>15</v>
      </c>
      <c r="N87" s="45"/>
      <c r="O87" s="46"/>
      <c r="P87" s="47">
        <f t="shared" si="32"/>
        <v>-0.14845250554968462</v>
      </c>
      <c r="Q87" s="47">
        <f t="shared" si="33"/>
        <v>-0.7912401152362237</v>
      </c>
      <c r="R87" s="47">
        <f t="shared" si="34"/>
        <v>-0.5540322932223235</v>
      </c>
      <c r="S87" s="48">
        <f t="shared" si="35"/>
        <v>259.3737004247386</v>
      </c>
      <c r="T87" s="48">
        <f t="shared" si="40"/>
        <v>-34.53573091453335</v>
      </c>
      <c r="U87" s="49">
        <f t="shared" si="36"/>
        <v>259.3737004247386</v>
      </c>
      <c r="V87" s="48">
        <f t="shared" si="22"/>
        <v>169.37370042473862</v>
      </c>
      <c r="W87" s="50">
        <f t="shared" si="37"/>
        <v>55.46426908546665</v>
      </c>
      <c r="X87" s="51"/>
      <c r="Y87" s="52"/>
      <c r="Z87" s="53" t="s">
        <v>48</v>
      </c>
      <c r="AA87" s="40">
        <v>0</v>
      </c>
      <c r="AB87" s="43">
        <v>60</v>
      </c>
      <c r="AC87" s="54">
        <v>130</v>
      </c>
      <c r="AD87" s="55">
        <v>-53.9</v>
      </c>
      <c r="AE87" s="49">
        <f t="shared" si="38"/>
        <v>309.3737004247386</v>
      </c>
      <c r="AF87" s="48">
        <f t="shared" si="30"/>
        <v>219.37370042473862</v>
      </c>
      <c r="AG87" s="48">
        <f t="shared" si="39"/>
        <v>55.46426908546665</v>
      </c>
      <c r="AH87" s="56"/>
      <c r="AI87" s="53" t="str">
        <f>Z87</f>
        <v>N</v>
      </c>
    </row>
    <row r="88" spans="1:35" s="39" customFormat="1" ht="12.75">
      <c r="A88" s="81">
        <v>67.15</v>
      </c>
      <c r="B88" s="9" t="s">
        <v>44</v>
      </c>
      <c r="C88" s="1" t="s">
        <v>59</v>
      </c>
      <c r="D88" s="43">
        <v>4</v>
      </c>
      <c r="E88" s="40" t="s">
        <v>47</v>
      </c>
      <c r="F88" s="41">
        <v>21</v>
      </c>
      <c r="G88" s="42">
        <v>31</v>
      </c>
      <c r="H88" s="43"/>
      <c r="I88" s="44"/>
      <c r="J88" s="40">
        <v>270</v>
      </c>
      <c r="K88" s="45">
        <v>54</v>
      </c>
      <c r="L88" s="45">
        <v>180</v>
      </c>
      <c r="M88" s="45">
        <v>28</v>
      </c>
      <c r="N88" s="45"/>
      <c r="O88" s="46"/>
      <c r="P88" s="47">
        <f t="shared" si="32"/>
        <v>-0.27594846097624665</v>
      </c>
      <c r="Q88" s="47">
        <f t="shared" si="33"/>
        <v>-0.7143196077653239</v>
      </c>
      <c r="R88" s="47">
        <f t="shared" si="34"/>
        <v>-0.5189835736296163</v>
      </c>
      <c r="S88" s="48">
        <f t="shared" si="35"/>
        <v>248.87797907457843</v>
      </c>
      <c r="T88" s="48">
        <f t="shared" si="40"/>
        <v>-34.12666517702772</v>
      </c>
      <c r="U88" s="49">
        <f t="shared" si="36"/>
        <v>248.87797907457843</v>
      </c>
      <c r="V88" s="48">
        <f t="shared" si="22"/>
        <v>158.87797907457843</v>
      </c>
      <c r="W88" s="50">
        <f t="shared" si="37"/>
        <v>55.87333482297228</v>
      </c>
      <c r="X88" s="51"/>
      <c r="Y88" s="52"/>
      <c r="Z88" s="53" t="s">
        <v>48</v>
      </c>
      <c r="AA88" s="40">
        <v>0</v>
      </c>
      <c r="AB88" s="43">
        <v>60</v>
      </c>
      <c r="AC88" s="54">
        <v>199.2</v>
      </c>
      <c r="AD88" s="55">
        <v>-13.5</v>
      </c>
      <c r="AE88" s="49">
        <f t="shared" si="38"/>
        <v>229.67797907457845</v>
      </c>
      <c r="AF88" s="48">
        <f t="shared" si="30"/>
        <v>139.67797907457845</v>
      </c>
      <c r="AG88" s="48">
        <f t="shared" si="39"/>
        <v>55.87333482297228</v>
      </c>
      <c r="AH88" s="56"/>
      <c r="AI88" s="53" t="str">
        <f>Z88</f>
        <v>N</v>
      </c>
    </row>
    <row r="89" spans="1:35" s="39" customFormat="1" ht="12.75">
      <c r="A89" s="81">
        <v>67.78</v>
      </c>
      <c r="B89" s="9" t="s">
        <v>44</v>
      </c>
      <c r="C89" s="1" t="s">
        <v>59</v>
      </c>
      <c r="D89" s="43">
        <v>4</v>
      </c>
      <c r="E89" s="40" t="s">
        <v>46</v>
      </c>
      <c r="F89" s="41">
        <v>84</v>
      </c>
      <c r="G89" s="42">
        <v>84</v>
      </c>
      <c r="H89" s="43"/>
      <c r="I89" s="44"/>
      <c r="J89" s="40">
        <v>90</v>
      </c>
      <c r="K89" s="45">
        <v>0</v>
      </c>
      <c r="L89" s="45">
        <v>180</v>
      </c>
      <c r="M89" s="45">
        <v>28</v>
      </c>
      <c r="N89" s="45"/>
      <c r="O89" s="46"/>
      <c r="P89" s="47">
        <f t="shared" si="32"/>
        <v>0.4694715627858908</v>
      </c>
      <c r="Q89" s="47">
        <f t="shared" si="33"/>
        <v>-2.874684233282234E-17</v>
      </c>
      <c r="R89" s="47">
        <f t="shared" si="34"/>
        <v>0.882947592858927</v>
      </c>
      <c r="S89" s="48">
        <f t="shared" si="35"/>
        <v>360</v>
      </c>
      <c r="T89" s="48">
        <f t="shared" si="40"/>
        <v>62.00000000000001</v>
      </c>
      <c r="U89" s="49">
        <f t="shared" si="36"/>
        <v>180</v>
      </c>
      <c r="V89" s="48">
        <f t="shared" si="22"/>
        <v>90</v>
      </c>
      <c r="W89" s="50">
        <f t="shared" si="37"/>
        <v>27.999999999999993</v>
      </c>
      <c r="X89" s="51"/>
      <c r="Y89" s="52"/>
      <c r="Z89" s="53"/>
      <c r="AA89" s="40">
        <v>81</v>
      </c>
      <c r="AB89" s="43">
        <v>129</v>
      </c>
      <c r="AC89" s="54">
        <v>0.6</v>
      </c>
      <c r="AD89" s="55">
        <v>-41.8</v>
      </c>
      <c r="AE89" s="49">
        <f t="shared" si="38"/>
        <v>359.4</v>
      </c>
      <c r="AF89" s="48">
        <f t="shared" si="30"/>
        <v>269.4</v>
      </c>
      <c r="AG89" s="48">
        <f t="shared" si="39"/>
        <v>27.999999999999993</v>
      </c>
      <c r="AH89" s="56"/>
      <c r="AI89" s="53"/>
    </row>
    <row r="90" spans="1:35" s="39" customFormat="1" ht="21">
      <c r="A90" s="81">
        <v>69.57</v>
      </c>
      <c r="B90" s="9" t="s">
        <v>44</v>
      </c>
      <c r="C90" s="1" t="s">
        <v>59</v>
      </c>
      <c r="D90" s="43">
        <v>7</v>
      </c>
      <c r="E90" s="40" t="s">
        <v>47</v>
      </c>
      <c r="F90" s="41">
        <v>0</v>
      </c>
      <c r="G90" s="42">
        <v>9</v>
      </c>
      <c r="H90" s="43"/>
      <c r="I90" s="44"/>
      <c r="J90" s="40">
        <v>90</v>
      </c>
      <c r="K90" s="45">
        <v>60</v>
      </c>
      <c r="L90" s="45">
        <v>41</v>
      </c>
      <c r="M90" s="45">
        <v>0</v>
      </c>
      <c r="N90" s="45"/>
      <c r="O90" s="46"/>
      <c r="P90" s="47">
        <f t="shared" si="32"/>
        <v>-0.5681637854879307</v>
      </c>
      <c r="Q90" s="47">
        <f t="shared" si="33"/>
        <v>0.6535976689524103</v>
      </c>
      <c r="R90" s="47">
        <f t="shared" si="34"/>
        <v>-0.3773547901113861</v>
      </c>
      <c r="S90" s="48">
        <f t="shared" si="35"/>
        <v>131</v>
      </c>
      <c r="T90" s="48">
        <f t="shared" si="40"/>
        <v>-23.54428724662723</v>
      </c>
      <c r="U90" s="49">
        <f t="shared" si="36"/>
        <v>131</v>
      </c>
      <c r="V90" s="48">
        <f t="shared" si="22"/>
        <v>41</v>
      </c>
      <c r="W90" s="50">
        <f t="shared" si="37"/>
        <v>66.45571275337277</v>
      </c>
      <c r="X90" s="51"/>
      <c r="Y90" s="52"/>
      <c r="Z90" s="53" t="s">
        <v>48</v>
      </c>
      <c r="AA90" s="40">
        <v>0</v>
      </c>
      <c r="AB90" s="43">
        <v>103</v>
      </c>
      <c r="AC90" s="54">
        <v>310.4</v>
      </c>
      <c r="AD90" s="55">
        <v>-29.6</v>
      </c>
      <c r="AE90" s="49">
        <f t="shared" si="38"/>
        <v>0.6000000000000227</v>
      </c>
      <c r="AF90" s="48">
        <f t="shared" si="30"/>
        <v>270.6</v>
      </c>
      <c r="AG90" s="48">
        <f t="shared" si="39"/>
        <v>66.45571275337277</v>
      </c>
      <c r="AH90" s="56"/>
      <c r="AI90" s="53" t="str">
        <f>Z90</f>
        <v>N</v>
      </c>
    </row>
    <row r="91" spans="1:35" s="39" customFormat="1" ht="12.75">
      <c r="A91" s="81">
        <v>70.11</v>
      </c>
      <c r="B91" s="9" t="s">
        <v>44</v>
      </c>
      <c r="C91" s="1" t="s">
        <v>59</v>
      </c>
      <c r="D91" s="43">
        <v>7</v>
      </c>
      <c r="E91" s="40" t="s">
        <v>47</v>
      </c>
      <c r="F91" s="41">
        <v>54</v>
      </c>
      <c r="G91" s="42">
        <v>64</v>
      </c>
      <c r="H91" s="43"/>
      <c r="I91" s="44"/>
      <c r="J91" s="40">
        <v>90</v>
      </c>
      <c r="K91" s="45">
        <v>60</v>
      </c>
      <c r="L91" s="45">
        <v>8</v>
      </c>
      <c r="M91" s="45">
        <v>0</v>
      </c>
      <c r="N91" s="45"/>
      <c r="O91" s="46"/>
      <c r="P91" s="47">
        <f t="shared" si="32"/>
        <v>-0.12052744095487311</v>
      </c>
      <c r="Q91" s="47">
        <f t="shared" si="33"/>
        <v>0.8575973040867547</v>
      </c>
      <c r="R91" s="47">
        <f t="shared" si="34"/>
        <v>-0.4951340343707853</v>
      </c>
      <c r="S91" s="48">
        <f t="shared" si="35"/>
        <v>98</v>
      </c>
      <c r="T91" s="48">
        <f t="shared" si="40"/>
        <v>-29.75796529892428</v>
      </c>
      <c r="U91" s="49">
        <f t="shared" si="36"/>
        <v>98</v>
      </c>
      <c r="V91" s="48">
        <f t="shared" si="22"/>
        <v>8</v>
      </c>
      <c r="W91" s="50">
        <f t="shared" si="37"/>
        <v>60.242034701075724</v>
      </c>
      <c r="X91" s="51"/>
      <c r="Y91" s="52"/>
      <c r="Z91" s="53" t="s">
        <v>48</v>
      </c>
      <c r="AA91" s="40">
        <v>0</v>
      </c>
      <c r="AB91" s="43">
        <v>103</v>
      </c>
      <c r="AC91" s="54">
        <v>321.7</v>
      </c>
      <c r="AD91" s="55">
        <v>-38.3</v>
      </c>
      <c r="AE91" s="49">
        <f t="shared" si="38"/>
        <v>316.3</v>
      </c>
      <c r="AF91" s="48">
        <f t="shared" si="30"/>
        <v>226.3</v>
      </c>
      <c r="AG91" s="48">
        <f t="shared" si="39"/>
        <v>60.242034701075724</v>
      </c>
      <c r="AH91" s="56"/>
      <c r="AI91" s="53" t="str">
        <f>Z91</f>
        <v>N</v>
      </c>
    </row>
    <row r="92" spans="1:35" s="39" customFormat="1" ht="21">
      <c r="A92" s="81">
        <v>71.25</v>
      </c>
      <c r="B92" s="9" t="s">
        <v>44</v>
      </c>
      <c r="C92" s="1" t="s">
        <v>59</v>
      </c>
      <c r="D92" s="43">
        <v>8</v>
      </c>
      <c r="E92" s="40" t="s">
        <v>46</v>
      </c>
      <c r="F92" s="41">
        <v>38</v>
      </c>
      <c r="G92" s="42">
        <v>38</v>
      </c>
      <c r="H92" s="43"/>
      <c r="I92" s="44"/>
      <c r="J92" s="40">
        <v>270</v>
      </c>
      <c r="K92" s="45">
        <v>6</v>
      </c>
      <c r="L92" s="45">
        <v>180</v>
      </c>
      <c r="M92" s="45">
        <v>11</v>
      </c>
      <c r="N92" s="45"/>
      <c r="O92" s="46"/>
      <c r="P92" s="47">
        <f t="shared" si="32"/>
        <v>-0.18976372373519743</v>
      </c>
      <c r="Q92" s="47">
        <f t="shared" si="33"/>
        <v>-0.10260798098753922</v>
      </c>
      <c r="R92" s="47">
        <f t="shared" si="34"/>
        <v>-0.9762497270273904</v>
      </c>
      <c r="S92" s="48">
        <f t="shared" si="35"/>
        <v>208.40072852757675</v>
      </c>
      <c r="T92" s="48">
        <f t="shared" si="40"/>
        <v>-77.5392271015405</v>
      </c>
      <c r="U92" s="49">
        <f t="shared" si="36"/>
        <v>208.40072852757675</v>
      </c>
      <c r="V92" s="48">
        <f t="shared" si="22"/>
        <v>118.40072852757675</v>
      </c>
      <c r="W92" s="50">
        <f t="shared" si="37"/>
        <v>12.460772898459496</v>
      </c>
      <c r="X92" s="51"/>
      <c r="Y92" s="52"/>
      <c r="Z92" s="53"/>
      <c r="AA92" s="40">
        <v>0</v>
      </c>
      <c r="AB92" s="43">
        <v>90</v>
      </c>
      <c r="AC92" s="54">
        <v>6.1</v>
      </c>
      <c r="AD92" s="55">
        <v>-63.1</v>
      </c>
      <c r="AE92" s="49">
        <f t="shared" si="38"/>
        <v>22.30072852757675</v>
      </c>
      <c r="AF92" s="48">
        <f t="shared" si="30"/>
        <v>292.3007285275768</v>
      </c>
      <c r="AG92" s="48">
        <f t="shared" si="39"/>
        <v>12.460772898459496</v>
      </c>
      <c r="AH92" s="56"/>
      <c r="AI92" s="53"/>
    </row>
    <row r="93" spans="1:35" s="39" customFormat="1" ht="12.75">
      <c r="A93" s="81">
        <v>71.42</v>
      </c>
      <c r="B93" s="9" t="s">
        <v>44</v>
      </c>
      <c r="C93" s="1" t="s">
        <v>59</v>
      </c>
      <c r="D93" s="43">
        <v>8</v>
      </c>
      <c r="E93" s="40" t="s">
        <v>46</v>
      </c>
      <c r="F93" s="41">
        <v>55</v>
      </c>
      <c r="G93" s="42">
        <v>56</v>
      </c>
      <c r="H93" s="43"/>
      <c r="I93" s="44"/>
      <c r="J93" s="40">
        <v>90</v>
      </c>
      <c r="K93" s="45">
        <v>3</v>
      </c>
      <c r="L93" s="45">
        <v>0</v>
      </c>
      <c r="M93" s="45">
        <v>2</v>
      </c>
      <c r="N93" s="45"/>
      <c r="O93" s="46"/>
      <c r="P93" s="47">
        <f t="shared" si="32"/>
        <v>0.034851668155187324</v>
      </c>
      <c r="Q93" s="47">
        <f t="shared" si="33"/>
        <v>0.05230407459247084</v>
      </c>
      <c r="R93" s="47">
        <f t="shared" si="34"/>
        <v>-0.9980211966240684</v>
      </c>
      <c r="S93" s="48">
        <f t="shared" si="35"/>
        <v>56.32336918625155</v>
      </c>
      <c r="T93" s="48">
        <f t="shared" si="40"/>
        <v>-86.39647307521291</v>
      </c>
      <c r="U93" s="49">
        <f t="shared" si="36"/>
        <v>56.32336918625155</v>
      </c>
      <c r="V93" s="48">
        <f t="shared" si="22"/>
        <v>326.32336918625157</v>
      </c>
      <c r="W93" s="50">
        <f t="shared" si="37"/>
        <v>3.60352692478709</v>
      </c>
      <c r="X93" s="51"/>
      <c r="Y93" s="52"/>
      <c r="Z93" s="53"/>
      <c r="AA93" s="40">
        <v>0</v>
      </c>
      <c r="AB93" s="43">
        <v>90</v>
      </c>
      <c r="AC93" s="54">
        <v>21.7</v>
      </c>
      <c r="AD93" s="55">
        <v>-54.2</v>
      </c>
      <c r="AE93" s="49">
        <f t="shared" si="38"/>
        <v>214.62336918625155</v>
      </c>
      <c r="AF93" s="48">
        <f t="shared" si="30"/>
        <v>124.62336918625155</v>
      </c>
      <c r="AG93" s="48">
        <f t="shared" si="39"/>
        <v>3.60352692478709</v>
      </c>
      <c r="AH93" s="56"/>
      <c r="AI93" s="53"/>
    </row>
    <row r="94" spans="1:35" s="39" customFormat="1" ht="21">
      <c r="A94" s="81">
        <v>72.94</v>
      </c>
      <c r="B94" s="9" t="s">
        <v>44</v>
      </c>
      <c r="C94" s="1" t="s">
        <v>61</v>
      </c>
      <c r="D94" s="43">
        <v>1</v>
      </c>
      <c r="E94" s="40" t="s">
        <v>46</v>
      </c>
      <c r="F94" s="41">
        <v>44</v>
      </c>
      <c r="G94" s="42">
        <v>45</v>
      </c>
      <c r="H94" s="43"/>
      <c r="I94" s="44"/>
      <c r="J94" s="40">
        <v>90</v>
      </c>
      <c r="K94" s="45">
        <v>9</v>
      </c>
      <c r="L94" s="45">
        <v>0</v>
      </c>
      <c r="M94" s="45">
        <v>6</v>
      </c>
      <c r="N94" s="45"/>
      <c r="O94" s="46"/>
      <c r="P94" s="47">
        <f t="shared" si="32"/>
        <v>0.10324154442978846</v>
      </c>
      <c r="Q94" s="47">
        <f t="shared" si="33"/>
        <v>0.1555775006727323</v>
      </c>
      <c r="R94" s="47">
        <f t="shared" si="34"/>
        <v>-0.9822776805218211</v>
      </c>
      <c r="S94" s="48">
        <f t="shared" si="35"/>
        <v>56.43166751782313</v>
      </c>
      <c r="T94" s="48">
        <f t="shared" si="40"/>
        <v>-79.23729995062943</v>
      </c>
      <c r="U94" s="49">
        <f t="shared" si="36"/>
        <v>56.43166751782313</v>
      </c>
      <c r="V94" s="48">
        <f t="shared" si="22"/>
        <v>326.43166751782314</v>
      </c>
      <c r="W94" s="50">
        <f t="shared" si="37"/>
        <v>10.762700049370565</v>
      </c>
      <c r="X94" s="51"/>
      <c r="Y94" s="52"/>
      <c r="Z94" s="53"/>
      <c r="AA94" s="40">
        <v>0</v>
      </c>
      <c r="AB94" s="43">
        <v>105</v>
      </c>
      <c r="AC94" s="54">
        <v>33.2</v>
      </c>
      <c r="AD94" s="55">
        <v>-26.7</v>
      </c>
      <c r="AE94" s="49">
        <f t="shared" si="38"/>
        <v>203.23166751782313</v>
      </c>
      <c r="AF94" s="48">
        <f t="shared" si="30"/>
        <v>113.23166751782313</v>
      </c>
      <c r="AG94" s="48">
        <f t="shared" si="39"/>
        <v>10.762700049370565</v>
      </c>
      <c r="AH94" s="56"/>
      <c r="AI94" s="53"/>
    </row>
    <row r="95" spans="1:35" s="39" customFormat="1" ht="12.75">
      <c r="A95" s="81">
        <v>73.21</v>
      </c>
      <c r="B95" s="9" t="s">
        <v>44</v>
      </c>
      <c r="C95" s="1" t="s">
        <v>61</v>
      </c>
      <c r="D95" s="43">
        <v>1</v>
      </c>
      <c r="E95" s="40" t="s">
        <v>46</v>
      </c>
      <c r="F95" s="41">
        <v>71</v>
      </c>
      <c r="G95" s="42">
        <v>71</v>
      </c>
      <c r="H95" s="43"/>
      <c r="I95" s="44"/>
      <c r="J95" s="40">
        <v>270</v>
      </c>
      <c r="K95" s="45">
        <v>0</v>
      </c>
      <c r="L95" s="45">
        <v>0</v>
      </c>
      <c r="M95" s="45">
        <v>15</v>
      </c>
      <c r="N95" s="45"/>
      <c r="O95" s="46"/>
      <c r="P95" s="47">
        <f t="shared" si="32"/>
        <v>-0.25881904510252074</v>
      </c>
      <c r="Q95" s="47">
        <f t="shared" si="33"/>
        <v>4.7544287271476465E-17</v>
      </c>
      <c r="R95" s="47">
        <f t="shared" si="34"/>
        <v>0.9659258262890683</v>
      </c>
      <c r="S95" s="48">
        <f t="shared" si="35"/>
        <v>180</v>
      </c>
      <c r="T95" s="48">
        <f t="shared" si="40"/>
        <v>75.00000000000001</v>
      </c>
      <c r="U95" s="49">
        <f t="shared" si="36"/>
        <v>0</v>
      </c>
      <c r="V95" s="48">
        <f t="shared" si="22"/>
        <v>270</v>
      </c>
      <c r="W95" s="50">
        <f t="shared" si="37"/>
        <v>14.999999999999986</v>
      </c>
      <c r="X95" s="51"/>
      <c r="Y95" s="52"/>
      <c r="Z95" s="53"/>
      <c r="AA95" s="40">
        <v>0</v>
      </c>
      <c r="AB95" s="43">
        <v>105</v>
      </c>
      <c r="AC95" s="54">
        <v>193.8</v>
      </c>
      <c r="AD95" s="55">
        <v>48</v>
      </c>
      <c r="AE95" s="49">
        <f t="shared" si="38"/>
        <v>166.2</v>
      </c>
      <c r="AF95" s="48">
        <f t="shared" si="30"/>
        <v>76.19999999999999</v>
      </c>
      <c r="AG95" s="48">
        <f t="shared" si="39"/>
        <v>14.999999999999986</v>
      </c>
      <c r="AH95" s="56"/>
      <c r="AI95" s="53"/>
    </row>
    <row r="96" spans="1:35" s="39" customFormat="1" ht="12.75">
      <c r="A96" s="81">
        <v>74.065</v>
      </c>
      <c r="B96" s="9" t="s">
        <v>44</v>
      </c>
      <c r="C96" s="1" t="s">
        <v>61</v>
      </c>
      <c r="D96" s="43">
        <v>2</v>
      </c>
      <c r="E96" s="40" t="s">
        <v>46</v>
      </c>
      <c r="F96" s="41">
        <v>26</v>
      </c>
      <c r="G96" s="42">
        <v>27</v>
      </c>
      <c r="H96" s="43"/>
      <c r="I96" s="44"/>
      <c r="J96" s="40">
        <v>90</v>
      </c>
      <c r="K96" s="45">
        <v>6</v>
      </c>
      <c r="L96" s="45">
        <v>0</v>
      </c>
      <c r="M96" s="45">
        <v>2</v>
      </c>
      <c r="N96" s="45"/>
      <c r="O96" s="46"/>
      <c r="P96" s="47">
        <f t="shared" si="32"/>
        <v>0.03470831360797007</v>
      </c>
      <c r="Q96" s="47">
        <f t="shared" si="33"/>
        <v>0.10446478735209536</v>
      </c>
      <c r="R96" s="47">
        <f t="shared" si="34"/>
        <v>-0.9939160595006973</v>
      </c>
      <c r="S96" s="48">
        <f t="shared" si="35"/>
        <v>71.62098802250347</v>
      </c>
      <c r="T96" s="48">
        <f t="shared" si="40"/>
        <v>-83.68004299396074</v>
      </c>
      <c r="U96" s="49">
        <f t="shared" si="36"/>
        <v>71.62098802250347</v>
      </c>
      <c r="V96" s="48">
        <f t="shared" si="22"/>
        <v>341.62098802250347</v>
      </c>
      <c r="W96" s="50">
        <f t="shared" si="37"/>
        <v>6.31995700603926</v>
      </c>
      <c r="X96" s="51"/>
      <c r="Y96" s="52"/>
      <c r="Z96" s="53"/>
      <c r="AA96" s="40">
        <v>0</v>
      </c>
      <c r="AB96" s="43">
        <v>128</v>
      </c>
      <c r="AC96" s="54">
        <v>151.5</v>
      </c>
      <c r="AD96" s="55">
        <v>42</v>
      </c>
      <c r="AE96" s="49">
        <f t="shared" si="38"/>
        <v>280.12098802250347</v>
      </c>
      <c r="AF96" s="48">
        <f t="shared" si="30"/>
        <v>190.12098802250347</v>
      </c>
      <c r="AG96" s="48">
        <f t="shared" si="39"/>
        <v>6.31995700603926</v>
      </c>
      <c r="AH96" s="56"/>
      <c r="AI96" s="53"/>
    </row>
    <row r="97" spans="1:35" s="39" customFormat="1" ht="12.75">
      <c r="A97" s="81">
        <v>74.415</v>
      </c>
      <c r="B97" s="9" t="s">
        <v>44</v>
      </c>
      <c r="C97" s="1" t="s">
        <v>61</v>
      </c>
      <c r="D97" s="43">
        <v>2</v>
      </c>
      <c r="E97" s="40" t="s">
        <v>46</v>
      </c>
      <c r="F97" s="41">
        <v>61</v>
      </c>
      <c r="G97" s="42">
        <v>61</v>
      </c>
      <c r="H97" s="43"/>
      <c r="I97" s="44"/>
      <c r="J97" s="40">
        <v>270</v>
      </c>
      <c r="K97" s="45">
        <v>4</v>
      </c>
      <c r="L97" s="45">
        <v>0</v>
      </c>
      <c r="M97" s="45">
        <v>10</v>
      </c>
      <c r="N97" s="45"/>
      <c r="O97" s="46"/>
      <c r="P97" s="47">
        <f t="shared" si="32"/>
        <v>-0.17322517943366056</v>
      </c>
      <c r="Q97" s="47">
        <f t="shared" si="33"/>
        <v>0.06869671616600716</v>
      </c>
      <c r="R97" s="47">
        <f t="shared" si="34"/>
        <v>0.9824088108221348</v>
      </c>
      <c r="S97" s="48">
        <f t="shared" si="35"/>
        <v>158.36797774921638</v>
      </c>
      <c r="T97" s="48">
        <f t="shared" si="40"/>
        <v>79.25937103879266</v>
      </c>
      <c r="U97" s="49">
        <f t="shared" si="36"/>
        <v>338.3679777492164</v>
      </c>
      <c r="V97" s="48">
        <f t="shared" si="22"/>
        <v>248.36797774921638</v>
      </c>
      <c r="W97" s="50">
        <f t="shared" si="37"/>
        <v>10.740628961207335</v>
      </c>
      <c r="X97" s="51"/>
      <c r="Y97" s="52"/>
      <c r="Z97" s="53"/>
      <c r="AA97" s="40">
        <v>0</v>
      </c>
      <c r="AB97" s="43">
        <v>128</v>
      </c>
      <c r="AC97" s="54"/>
      <c r="AD97" s="55"/>
      <c r="AE97" s="49">
        <f t="shared" si="38"/>
        <v>338.3679777492164</v>
      </c>
      <c r="AF97" s="48">
        <f t="shared" si="30"/>
        <v>248.36797774921638</v>
      </c>
      <c r="AG97" s="48">
        <f t="shared" si="39"/>
        <v>10.740628961207335</v>
      </c>
      <c r="AH97" s="56"/>
      <c r="AI97" s="53"/>
    </row>
    <row r="98" spans="1:35" ht="12.75">
      <c r="A98" s="80">
        <v>74.545</v>
      </c>
      <c r="B98" s="9" t="s">
        <v>44</v>
      </c>
      <c r="C98" s="1" t="s">
        <v>61</v>
      </c>
      <c r="D98" s="43">
        <v>2</v>
      </c>
      <c r="E98" s="40" t="s">
        <v>46</v>
      </c>
      <c r="F98" s="11">
        <v>74</v>
      </c>
      <c r="G98" s="13">
        <v>74</v>
      </c>
      <c r="H98" s="43"/>
      <c r="I98" s="44"/>
      <c r="J98" s="2">
        <v>90</v>
      </c>
      <c r="K98" s="45">
        <v>1</v>
      </c>
      <c r="L98" s="45">
        <v>180</v>
      </c>
      <c r="M98" s="45">
        <v>2</v>
      </c>
      <c r="N98" s="9"/>
      <c r="O98" s="34"/>
      <c r="P98" s="29">
        <f t="shared" si="32"/>
        <v>0.03489418134011367</v>
      </c>
      <c r="Q98" s="29">
        <f t="shared" si="33"/>
        <v>-0.01744177490283016</v>
      </c>
      <c r="R98" s="29">
        <f t="shared" si="34"/>
        <v>0.9992386149554826</v>
      </c>
      <c r="S98" s="10">
        <f t="shared" si="35"/>
        <v>333.4419319834189</v>
      </c>
      <c r="T98" s="10">
        <f t="shared" si="40"/>
        <v>87.76429506217735</v>
      </c>
      <c r="U98" s="18">
        <f t="shared" si="36"/>
        <v>153.4419319834189</v>
      </c>
      <c r="V98" s="10">
        <f t="shared" si="22"/>
        <v>63.4419319834189</v>
      </c>
      <c r="W98" s="19">
        <f t="shared" si="37"/>
        <v>2.2357049378226463</v>
      </c>
      <c r="X98" s="35"/>
      <c r="Y98" s="37"/>
      <c r="Z98" s="22"/>
      <c r="AA98" s="40">
        <v>0</v>
      </c>
      <c r="AB98" s="43">
        <v>128</v>
      </c>
      <c r="AC98" s="26">
        <v>57.6</v>
      </c>
      <c r="AD98" s="27">
        <v>-2.9</v>
      </c>
      <c r="AE98" s="18">
        <f t="shared" si="38"/>
        <v>275.84193198341893</v>
      </c>
      <c r="AF98" s="10">
        <f t="shared" si="30"/>
        <v>185.84193198341893</v>
      </c>
      <c r="AG98" s="10">
        <f t="shared" si="39"/>
        <v>2.2357049378226463</v>
      </c>
      <c r="AH98" s="36"/>
      <c r="AI98" s="22"/>
    </row>
    <row r="99" spans="1:35" ht="12.75">
      <c r="A99" s="80">
        <v>74.795</v>
      </c>
      <c r="B99" s="9" t="s">
        <v>44</v>
      </c>
      <c r="C99" s="1" t="s">
        <v>61</v>
      </c>
      <c r="D99" s="43">
        <v>2</v>
      </c>
      <c r="E99" s="40" t="s">
        <v>46</v>
      </c>
      <c r="F99" s="11">
        <v>99</v>
      </c>
      <c r="G99" s="13">
        <v>99</v>
      </c>
      <c r="H99" s="43"/>
      <c r="I99" s="44"/>
      <c r="J99" s="2">
        <v>90</v>
      </c>
      <c r="K99" s="45">
        <v>5</v>
      </c>
      <c r="L99" s="45">
        <v>0</v>
      </c>
      <c r="M99" s="45">
        <v>10</v>
      </c>
      <c r="N99" s="9"/>
      <c r="O99" s="34"/>
      <c r="P99" s="29">
        <f t="shared" si="32"/>
        <v>0.17298739392508944</v>
      </c>
      <c r="Q99" s="29">
        <f t="shared" si="33"/>
        <v>0.08583165117743127</v>
      </c>
      <c r="R99" s="29">
        <f t="shared" si="34"/>
        <v>-0.9810602621904069</v>
      </c>
      <c r="S99" s="10">
        <f t="shared" si="35"/>
        <v>26.389359908893105</v>
      </c>
      <c r="T99" s="10">
        <f t="shared" si="40"/>
        <v>-78.86433605880525</v>
      </c>
      <c r="U99" s="18">
        <f t="shared" si="36"/>
        <v>26.389359908893105</v>
      </c>
      <c r="V99" s="10">
        <f t="shared" si="22"/>
        <v>296.3893599088931</v>
      </c>
      <c r="W99" s="19">
        <f t="shared" si="37"/>
        <v>11.13566394119475</v>
      </c>
      <c r="X99" s="35"/>
      <c r="Y99" s="37"/>
      <c r="Z99" s="22"/>
      <c r="AA99" s="40">
        <v>0</v>
      </c>
      <c r="AB99" s="43">
        <v>128</v>
      </c>
      <c r="AC99" s="26">
        <v>89.8</v>
      </c>
      <c r="AD99" s="27">
        <v>33.5</v>
      </c>
      <c r="AE99" s="18">
        <f t="shared" si="38"/>
        <v>296.58935990889313</v>
      </c>
      <c r="AF99" s="10">
        <f t="shared" si="30"/>
        <v>206.58935990889313</v>
      </c>
      <c r="AG99" s="10">
        <f t="shared" si="39"/>
        <v>11.13566394119475</v>
      </c>
      <c r="AH99" s="36"/>
      <c r="AI99" s="22"/>
    </row>
    <row r="100" spans="1:35" ht="12.75">
      <c r="A100" s="80">
        <v>75.61</v>
      </c>
      <c r="B100" s="9" t="s">
        <v>44</v>
      </c>
      <c r="C100" s="1" t="s">
        <v>61</v>
      </c>
      <c r="D100" s="43">
        <v>3</v>
      </c>
      <c r="E100" s="40" t="s">
        <v>46</v>
      </c>
      <c r="F100" s="11">
        <v>49</v>
      </c>
      <c r="G100" s="13">
        <v>50</v>
      </c>
      <c r="H100" s="43"/>
      <c r="I100" s="44"/>
      <c r="J100" s="2">
        <v>270</v>
      </c>
      <c r="K100" s="45">
        <v>7</v>
      </c>
      <c r="L100" s="45">
        <v>0</v>
      </c>
      <c r="M100" s="45">
        <v>10</v>
      </c>
      <c r="N100" s="9"/>
      <c r="O100" s="34"/>
      <c r="P100" s="29">
        <f t="shared" si="32"/>
        <v>-0.17235383048284025</v>
      </c>
      <c r="Q100" s="29">
        <f t="shared" si="33"/>
        <v>0.12001787423989646</v>
      </c>
      <c r="R100" s="29">
        <f t="shared" si="34"/>
        <v>0.9774671453588046</v>
      </c>
      <c r="S100" s="10">
        <f t="shared" si="35"/>
        <v>145.14873625054898</v>
      </c>
      <c r="T100" s="10">
        <f t="shared" si="40"/>
        <v>77.87347698248591</v>
      </c>
      <c r="U100" s="18">
        <f t="shared" si="36"/>
        <v>325.14873625054895</v>
      </c>
      <c r="V100" s="10">
        <f t="shared" si="22"/>
        <v>235.14873625054895</v>
      </c>
      <c r="W100" s="19">
        <f t="shared" si="37"/>
        <v>12.126523017514089</v>
      </c>
      <c r="X100" s="35"/>
      <c r="Y100" s="37"/>
      <c r="Z100" s="22"/>
      <c r="AA100" s="2">
        <v>46</v>
      </c>
      <c r="AB100" s="45">
        <v>91</v>
      </c>
      <c r="AC100" s="26">
        <v>355.8</v>
      </c>
      <c r="AD100" s="27">
        <v>65.3</v>
      </c>
      <c r="AE100" s="18">
        <f t="shared" si="38"/>
        <v>329.34873625054894</v>
      </c>
      <c r="AF100" s="10">
        <f t="shared" si="30"/>
        <v>239.34873625054894</v>
      </c>
      <c r="AG100" s="10">
        <f t="shared" si="39"/>
        <v>12.126523017514089</v>
      </c>
      <c r="AH100" s="36"/>
      <c r="AI100" s="22"/>
    </row>
    <row r="101" spans="1:35" ht="12.75">
      <c r="A101" s="80">
        <v>75.855</v>
      </c>
      <c r="B101" s="9" t="s">
        <v>44</v>
      </c>
      <c r="C101" s="1" t="s">
        <v>61</v>
      </c>
      <c r="D101" s="43">
        <v>3</v>
      </c>
      <c r="E101" s="40" t="s">
        <v>46</v>
      </c>
      <c r="F101" s="11">
        <v>73.5</v>
      </c>
      <c r="G101" s="13">
        <v>73.5</v>
      </c>
      <c r="H101" s="43"/>
      <c r="I101" s="44"/>
      <c r="J101" s="2">
        <v>90</v>
      </c>
      <c r="K101" s="45">
        <v>0</v>
      </c>
      <c r="L101" s="45">
        <v>0</v>
      </c>
      <c r="M101" s="45">
        <v>5</v>
      </c>
      <c r="N101" s="9"/>
      <c r="O101" s="34"/>
      <c r="P101" s="29">
        <f t="shared" si="32"/>
        <v>0.08715574274765817</v>
      </c>
      <c r="Q101" s="29">
        <f t="shared" si="33"/>
        <v>-5.336750069161486E-18</v>
      </c>
      <c r="R101" s="29">
        <f t="shared" si="34"/>
        <v>-0.9961946980917455</v>
      </c>
      <c r="S101" s="10">
        <f t="shared" si="35"/>
        <v>360</v>
      </c>
      <c r="T101" s="10">
        <f t="shared" si="40"/>
        <v>-85</v>
      </c>
      <c r="U101" s="18">
        <f t="shared" si="36"/>
        <v>360</v>
      </c>
      <c r="V101" s="10">
        <f t="shared" si="22"/>
        <v>270</v>
      </c>
      <c r="W101" s="19">
        <f t="shared" si="37"/>
        <v>5</v>
      </c>
      <c r="X101" s="35"/>
      <c r="Y101" s="37"/>
      <c r="Z101" s="22"/>
      <c r="AA101" s="2">
        <v>46</v>
      </c>
      <c r="AB101" s="45">
        <v>91</v>
      </c>
      <c r="AC101" s="26">
        <v>77.2</v>
      </c>
      <c r="AD101" s="27">
        <v>46.7</v>
      </c>
      <c r="AE101" s="18">
        <f t="shared" si="38"/>
        <v>282.8</v>
      </c>
      <c r="AF101" s="10">
        <f t="shared" si="30"/>
        <v>192.8</v>
      </c>
      <c r="AG101" s="10">
        <f t="shared" si="39"/>
        <v>5</v>
      </c>
      <c r="AH101" s="36"/>
      <c r="AI101" s="22"/>
    </row>
    <row r="102" spans="1:35" ht="12.75">
      <c r="A102" s="80">
        <v>76.55</v>
      </c>
      <c r="B102" s="9" t="s">
        <v>44</v>
      </c>
      <c r="C102" s="1" t="s">
        <v>61</v>
      </c>
      <c r="D102" s="43">
        <v>4</v>
      </c>
      <c r="E102" s="40" t="s">
        <v>46</v>
      </c>
      <c r="F102" s="11">
        <v>10</v>
      </c>
      <c r="G102" s="13">
        <v>10</v>
      </c>
      <c r="H102" s="43"/>
      <c r="I102" s="44"/>
      <c r="J102" s="2">
        <v>90</v>
      </c>
      <c r="K102" s="45">
        <v>4</v>
      </c>
      <c r="L102" s="45">
        <v>180</v>
      </c>
      <c r="M102" s="45">
        <v>2</v>
      </c>
      <c r="N102" s="9"/>
      <c r="O102" s="34"/>
      <c r="P102" s="29">
        <f t="shared" si="32"/>
        <v>0.03481448328257624</v>
      </c>
      <c r="Q102" s="29">
        <f t="shared" si="33"/>
        <v>-0.06971397998507722</v>
      </c>
      <c r="R102" s="29">
        <f t="shared" si="34"/>
        <v>0.9969563611936845</v>
      </c>
      <c r="S102" s="10">
        <f t="shared" si="35"/>
        <v>296.5370963935808</v>
      </c>
      <c r="T102" s="10">
        <f t="shared" si="40"/>
        <v>85.53076266752878</v>
      </c>
      <c r="U102" s="18">
        <f t="shared" si="36"/>
        <v>116.53709639358078</v>
      </c>
      <c r="V102" s="10">
        <f t="shared" si="22"/>
        <v>26.537096393580782</v>
      </c>
      <c r="W102" s="19">
        <f t="shared" si="37"/>
        <v>4.469237332471224</v>
      </c>
      <c r="X102" s="35"/>
      <c r="Y102" s="37"/>
      <c r="Z102" s="22"/>
      <c r="AA102" s="2">
        <v>0</v>
      </c>
      <c r="AB102" s="45">
        <v>31</v>
      </c>
      <c r="AC102" s="26">
        <v>33.5</v>
      </c>
      <c r="AD102" s="27">
        <v>45</v>
      </c>
      <c r="AE102" s="18">
        <f t="shared" si="38"/>
        <v>83.03709639358078</v>
      </c>
      <c r="AF102" s="10">
        <f t="shared" si="30"/>
        <v>353.0370963935808</v>
      </c>
      <c r="AG102" s="10">
        <f t="shared" si="39"/>
        <v>4.469237332471224</v>
      </c>
      <c r="AH102" s="36"/>
      <c r="AI102" s="22"/>
    </row>
    <row r="103" spans="1:35" ht="12.75">
      <c r="A103" s="80">
        <v>76.68</v>
      </c>
      <c r="B103" s="9" t="s">
        <v>44</v>
      </c>
      <c r="C103" s="1" t="s">
        <v>61</v>
      </c>
      <c r="D103" s="43">
        <v>4</v>
      </c>
      <c r="E103" s="40" t="s">
        <v>46</v>
      </c>
      <c r="F103" s="11">
        <v>23</v>
      </c>
      <c r="G103" s="13">
        <v>23</v>
      </c>
      <c r="H103" s="43"/>
      <c r="I103" s="44"/>
      <c r="J103" s="2">
        <v>90</v>
      </c>
      <c r="K103" s="45">
        <v>1</v>
      </c>
      <c r="L103" s="45">
        <v>0</v>
      </c>
      <c r="M103" s="45">
        <v>3</v>
      </c>
      <c r="N103" s="9"/>
      <c r="O103" s="34"/>
      <c r="P103" s="29">
        <f t="shared" si="32"/>
        <v>0.05232798522331313</v>
      </c>
      <c r="Q103" s="29">
        <f t="shared" si="33"/>
        <v>0.01742848852081216</v>
      </c>
      <c r="R103" s="29">
        <f t="shared" si="34"/>
        <v>-0.9984774386394599</v>
      </c>
      <c r="S103" s="10">
        <f t="shared" si="35"/>
        <v>18.420980799725044</v>
      </c>
      <c r="T103" s="10">
        <f t="shared" si="40"/>
        <v>-86.83829951329471</v>
      </c>
      <c r="U103" s="18">
        <f t="shared" si="36"/>
        <v>18.420980799725044</v>
      </c>
      <c r="V103" s="10">
        <f t="shared" si="22"/>
        <v>288.42098079972504</v>
      </c>
      <c r="W103" s="19">
        <f t="shared" si="37"/>
        <v>3.1617004867052856</v>
      </c>
      <c r="X103" s="35"/>
      <c r="Y103" s="37"/>
      <c r="Z103" s="22"/>
      <c r="AA103" s="2">
        <v>0</v>
      </c>
      <c r="AB103" s="45">
        <v>31</v>
      </c>
      <c r="AC103" s="26">
        <v>53.2</v>
      </c>
      <c r="AD103" s="27">
        <v>31.8</v>
      </c>
      <c r="AE103" s="18">
        <f t="shared" si="38"/>
        <v>325.22098079972506</v>
      </c>
      <c r="AF103" s="10">
        <f t="shared" si="30"/>
        <v>235.22098079972506</v>
      </c>
      <c r="AG103" s="10">
        <f t="shared" si="39"/>
        <v>3.1617004867052856</v>
      </c>
      <c r="AH103" s="36"/>
      <c r="AI103" s="22"/>
    </row>
    <row r="104" spans="1:35" ht="12.75">
      <c r="A104" s="80">
        <v>77.12</v>
      </c>
      <c r="B104" s="9" t="s">
        <v>44</v>
      </c>
      <c r="C104" s="1" t="s">
        <v>61</v>
      </c>
      <c r="D104" s="43">
        <v>4</v>
      </c>
      <c r="E104" s="40" t="s">
        <v>46</v>
      </c>
      <c r="F104" s="11">
        <v>67</v>
      </c>
      <c r="G104" s="13">
        <v>67</v>
      </c>
      <c r="H104" s="43"/>
      <c r="I104" s="44"/>
      <c r="J104" s="2">
        <v>270</v>
      </c>
      <c r="K104" s="45">
        <v>0</v>
      </c>
      <c r="L104" s="45">
        <v>0</v>
      </c>
      <c r="M104" s="45">
        <v>10</v>
      </c>
      <c r="N104" s="9"/>
      <c r="O104" s="34"/>
      <c r="P104" s="29">
        <f t="shared" si="32"/>
        <v>-0.17364817766693033</v>
      </c>
      <c r="Q104" s="29">
        <f t="shared" si="33"/>
        <v>3.1898652743636566E-17</v>
      </c>
      <c r="R104" s="29">
        <f t="shared" si="34"/>
        <v>0.984807753012208</v>
      </c>
      <c r="S104" s="10">
        <f t="shared" si="35"/>
        <v>180</v>
      </c>
      <c r="T104" s="10">
        <f t="shared" si="40"/>
        <v>80.00000000000003</v>
      </c>
      <c r="U104" s="18">
        <f t="shared" si="36"/>
        <v>0</v>
      </c>
      <c r="V104" s="10">
        <f t="shared" si="22"/>
        <v>270</v>
      </c>
      <c r="W104" s="19">
        <f t="shared" si="37"/>
        <v>9.999999999999972</v>
      </c>
      <c r="X104" s="35"/>
      <c r="Y104" s="37"/>
      <c r="Z104" s="22"/>
      <c r="AA104" s="2">
        <v>62</v>
      </c>
      <c r="AB104" s="45">
        <v>88</v>
      </c>
      <c r="AC104" s="26">
        <v>45.4</v>
      </c>
      <c r="AD104" s="27">
        <v>-74.9</v>
      </c>
      <c r="AE104" s="18">
        <f t="shared" si="38"/>
        <v>134.6</v>
      </c>
      <c r="AF104" s="10">
        <f t="shared" si="30"/>
        <v>44.599999999999994</v>
      </c>
      <c r="AG104" s="10">
        <f t="shared" si="39"/>
        <v>9.999999999999972</v>
      </c>
      <c r="AH104" s="36"/>
      <c r="AI104" s="22"/>
    </row>
    <row r="105" spans="1:35" ht="12.75">
      <c r="A105" s="80">
        <v>78.27</v>
      </c>
      <c r="B105" s="9" t="s">
        <v>44</v>
      </c>
      <c r="C105" s="1" t="s">
        <v>61</v>
      </c>
      <c r="D105" s="43">
        <v>6</v>
      </c>
      <c r="E105" s="40" t="s">
        <v>46</v>
      </c>
      <c r="F105" s="11">
        <v>44</v>
      </c>
      <c r="G105" s="13">
        <v>44</v>
      </c>
      <c r="H105" s="43"/>
      <c r="I105" s="44"/>
      <c r="J105" s="2">
        <v>90</v>
      </c>
      <c r="K105" s="45">
        <v>6</v>
      </c>
      <c r="L105" s="45">
        <v>0</v>
      </c>
      <c r="M105" s="45">
        <v>14</v>
      </c>
      <c r="N105" s="9"/>
      <c r="O105" s="34"/>
      <c r="P105" s="29">
        <f t="shared" si="32"/>
        <v>0.2405966221428671</v>
      </c>
      <c r="Q105" s="29">
        <f t="shared" si="33"/>
        <v>0.10142352118280161</v>
      </c>
      <c r="R105" s="29">
        <f t="shared" si="34"/>
        <v>-0.9649803447637393</v>
      </c>
      <c r="S105" s="10">
        <f t="shared" si="35"/>
        <v>22.85785871020288</v>
      </c>
      <c r="T105" s="10">
        <f t="shared" si="40"/>
        <v>-74.85967119679061</v>
      </c>
      <c r="U105" s="18">
        <f t="shared" si="36"/>
        <v>22.85785871020288</v>
      </c>
      <c r="V105" s="10">
        <f t="shared" si="22"/>
        <v>292.8578587102029</v>
      </c>
      <c r="W105" s="19">
        <f t="shared" si="37"/>
        <v>15.140328803209385</v>
      </c>
      <c r="X105" s="35"/>
      <c r="Y105" s="37"/>
      <c r="Z105" s="22"/>
      <c r="AA105" s="2">
        <v>40</v>
      </c>
      <c r="AB105" s="45">
        <v>61</v>
      </c>
      <c r="AC105" s="26"/>
      <c r="AD105" s="27"/>
      <c r="AE105" s="18">
        <f t="shared" si="38"/>
        <v>22.85785871020288</v>
      </c>
      <c r="AF105" s="10">
        <f t="shared" si="30"/>
        <v>292.8578587102029</v>
      </c>
      <c r="AG105" s="10">
        <f t="shared" si="39"/>
        <v>15.140328803209385</v>
      </c>
      <c r="AH105" s="36"/>
      <c r="AI105" s="22"/>
    </row>
    <row r="106" spans="1:35" s="39" customFormat="1" ht="21">
      <c r="A106" s="81">
        <v>82.42</v>
      </c>
      <c r="B106" s="9" t="s">
        <v>44</v>
      </c>
      <c r="C106" s="1" t="s">
        <v>62</v>
      </c>
      <c r="D106" s="43">
        <v>1</v>
      </c>
      <c r="E106" s="40" t="s">
        <v>46</v>
      </c>
      <c r="F106" s="41">
        <v>42</v>
      </c>
      <c r="G106" s="42">
        <v>45</v>
      </c>
      <c r="H106" s="43"/>
      <c r="I106" s="44"/>
      <c r="J106" s="40">
        <v>90</v>
      </c>
      <c r="K106" s="45">
        <v>25</v>
      </c>
      <c r="L106" s="45">
        <v>0</v>
      </c>
      <c r="M106" s="45">
        <v>20</v>
      </c>
      <c r="N106" s="45"/>
      <c r="O106" s="46"/>
      <c r="P106" s="47">
        <f t="shared" si="32"/>
        <v>0.30997551921944466</v>
      </c>
      <c r="Q106" s="47">
        <f t="shared" si="33"/>
        <v>0.39713126196710286</v>
      </c>
      <c r="R106" s="47">
        <f t="shared" si="34"/>
        <v>-0.8516507396391465</v>
      </c>
      <c r="S106" s="48">
        <f t="shared" si="35"/>
        <v>52.02665581076573</v>
      </c>
      <c r="T106" s="48">
        <f t="shared" si="40"/>
        <v>-59.39407390837523</v>
      </c>
      <c r="U106" s="49">
        <f t="shared" si="36"/>
        <v>52.02665581076573</v>
      </c>
      <c r="V106" s="48">
        <f t="shared" si="22"/>
        <v>322.02665581076576</v>
      </c>
      <c r="W106" s="50">
        <f t="shared" si="37"/>
        <v>30.605926091624767</v>
      </c>
      <c r="X106" s="51"/>
      <c r="Y106" s="52"/>
      <c r="Z106" s="53"/>
      <c r="AA106" s="40">
        <v>31</v>
      </c>
      <c r="AB106" s="43">
        <v>47</v>
      </c>
      <c r="AC106" s="54">
        <v>208.6</v>
      </c>
      <c r="AD106" s="55">
        <v>-48.8</v>
      </c>
      <c r="AE106" s="49">
        <f t="shared" si="38"/>
        <v>23.426655810765737</v>
      </c>
      <c r="AF106" s="48">
        <f t="shared" si="30"/>
        <v>293.42665581076574</v>
      </c>
      <c r="AG106" s="48">
        <f t="shared" si="39"/>
        <v>30.605926091624767</v>
      </c>
      <c r="AH106" s="56"/>
      <c r="AI106" s="53"/>
    </row>
    <row r="107" spans="1:35" s="39" customFormat="1" ht="12.75">
      <c r="A107" s="81">
        <v>82.695</v>
      </c>
      <c r="B107" s="9" t="s">
        <v>44</v>
      </c>
      <c r="C107" s="1" t="s">
        <v>62</v>
      </c>
      <c r="D107" s="43">
        <v>2</v>
      </c>
      <c r="E107" s="40" t="s">
        <v>46</v>
      </c>
      <c r="F107" s="41">
        <v>16</v>
      </c>
      <c r="G107" s="42">
        <v>17</v>
      </c>
      <c r="H107" s="43"/>
      <c r="I107" s="44"/>
      <c r="J107" s="40">
        <v>90</v>
      </c>
      <c r="K107" s="45">
        <v>10</v>
      </c>
      <c r="L107" s="45">
        <v>0</v>
      </c>
      <c r="M107" s="45">
        <v>12</v>
      </c>
      <c r="N107" s="45"/>
      <c r="O107" s="46"/>
      <c r="P107" s="47">
        <f aca="true" t="shared" si="41" ref="P107:P112">COS(K107*PI()/180)*SIN(J107*PI()/180)*(SIN(M107*PI()/180))-(COS(M107*PI()/180)*SIN(L107*PI()/180))*(SIN(K107*PI()/180))</f>
        <v>0.20475304505920647</v>
      </c>
      <c r="Q107" s="47">
        <f aca="true" t="shared" si="42" ref="Q107:Q112">(SIN(K107*PI()/180))*(COS(M107*PI()/180)*COS(L107*PI()/180))-(SIN(M107*PI()/180))*(COS(K107*PI()/180)*COS(J107*PI()/180))</f>
        <v>0.16985354835670552</v>
      </c>
      <c r="R107" s="47">
        <f aca="true" t="shared" si="43" ref="R107:R112">(COS(K107*PI()/180)*COS(J107*PI()/180))*(COS(M107*PI()/180)*SIN(L107*PI()/180))-(COS(K107*PI()/180)*SIN(J107*PI()/180))*(COS(M107*PI()/180)*COS(L107*PI()/180))</f>
        <v>-0.9632873407929415</v>
      </c>
      <c r="S107" s="48">
        <f aca="true" t="shared" si="44" ref="S107:S112">IF(P107=0,IF(Q107&gt;=0,90,270),IF(P107&gt;0,IF(Q107&gt;=0,ATAN(Q107/P107)*180/PI(),ATAN(Q107/P107)*180/PI()+360),ATAN(Q107/P107)*180/PI()+180))</f>
        <v>39.67751293798413</v>
      </c>
      <c r="T107" s="48">
        <f t="shared" si="40"/>
        <v>-74.56128769428251</v>
      </c>
      <c r="U107" s="49">
        <f aca="true" t="shared" si="45" ref="U107:U112">IF(R107&lt;0,S107,IF(S107+180&gt;=360,S107-180,S107+180))</f>
        <v>39.67751293798413</v>
      </c>
      <c r="V107" s="48">
        <f t="shared" si="22"/>
        <v>309.67751293798415</v>
      </c>
      <c r="W107" s="50">
        <f aca="true" t="shared" si="46" ref="W107:W112">IF(R107&lt;0,90+T107,90-T107)</f>
        <v>15.438712305717488</v>
      </c>
      <c r="X107" s="51"/>
      <c r="Y107" s="52"/>
      <c r="Z107" s="53"/>
      <c r="AA107" s="40">
        <v>0</v>
      </c>
      <c r="AB107" s="43">
        <v>96</v>
      </c>
      <c r="AC107" s="54">
        <v>300</v>
      </c>
      <c r="AD107" s="55">
        <v>-23.6</v>
      </c>
      <c r="AE107" s="49">
        <f aca="true" t="shared" si="47" ref="AE107:AE112">IF(AD107&gt;=0,IF(U107&gt;=AC107,U107-AC107,U107-AC107+360),IF((U107-AC107-180)&lt;0,IF(U107-AC107+180&lt;0,U107-AC107+540,U107-AC107+180),U107-AC107-180))</f>
        <v>279.67751293798415</v>
      </c>
      <c r="AF107" s="48">
        <f t="shared" si="30"/>
        <v>189.67751293798415</v>
      </c>
      <c r="AG107" s="48">
        <f aca="true" t="shared" si="48" ref="AG107:AG112">W107</f>
        <v>15.438712305717488</v>
      </c>
      <c r="AH107" s="56"/>
      <c r="AI107" s="53"/>
    </row>
    <row r="108" spans="1:35" s="39" customFormat="1" ht="21">
      <c r="A108" s="81">
        <v>82.855</v>
      </c>
      <c r="B108" s="9" t="s">
        <v>44</v>
      </c>
      <c r="C108" s="1" t="s">
        <v>62</v>
      </c>
      <c r="D108" s="43">
        <v>2</v>
      </c>
      <c r="E108" s="40" t="s">
        <v>46</v>
      </c>
      <c r="F108" s="41">
        <v>32</v>
      </c>
      <c r="G108" s="42">
        <v>33</v>
      </c>
      <c r="H108" s="43"/>
      <c r="I108" s="44"/>
      <c r="J108" s="40">
        <v>90</v>
      </c>
      <c r="K108" s="45">
        <v>8</v>
      </c>
      <c r="L108" s="45">
        <v>0</v>
      </c>
      <c r="M108" s="45">
        <v>10</v>
      </c>
      <c r="N108" s="45"/>
      <c r="O108" s="46"/>
      <c r="P108" s="47">
        <f t="shared" si="41"/>
        <v>0.17195824553872419</v>
      </c>
      <c r="Q108" s="47">
        <f t="shared" si="42"/>
        <v>0.1370587488362232</v>
      </c>
      <c r="R108" s="47">
        <f t="shared" si="43"/>
        <v>-0.9752236716571246</v>
      </c>
      <c r="S108" s="48">
        <f t="shared" si="44"/>
        <v>38.5564810155944</v>
      </c>
      <c r="T108" s="48">
        <f t="shared" si="40"/>
        <v>-77.29323689420146</v>
      </c>
      <c r="U108" s="49">
        <f t="shared" si="45"/>
        <v>38.5564810155944</v>
      </c>
      <c r="V108" s="48">
        <f t="shared" si="22"/>
        <v>308.5564810155944</v>
      </c>
      <c r="W108" s="50">
        <f t="shared" si="46"/>
        <v>12.706763105798544</v>
      </c>
      <c r="X108" s="51"/>
      <c r="Y108" s="52"/>
      <c r="Z108" s="53"/>
      <c r="AA108" s="40">
        <v>0</v>
      </c>
      <c r="AB108" s="43">
        <v>96</v>
      </c>
      <c r="AC108" s="54"/>
      <c r="AD108" s="55"/>
      <c r="AE108" s="49">
        <f t="shared" si="47"/>
        <v>38.5564810155944</v>
      </c>
      <c r="AF108" s="48">
        <f t="shared" si="30"/>
        <v>308.5564810155944</v>
      </c>
      <c r="AG108" s="48">
        <f t="shared" si="48"/>
        <v>12.706763105798544</v>
      </c>
      <c r="AH108" s="56"/>
      <c r="AI108" s="53"/>
    </row>
    <row r="109" spans="1:35" s="39" customFormat="1" ht="21">
      <c r="A109" s="81">
        <v>83.085</v>
      </c>
      <c r="B109" s="9" t="s">
        <v>44</v>
      </c>
      <c r="C109" s="1" t="s">
        <v>62</v>
      </c>
      <c r="D109" s="43">
        <v>2</v>
      </c>
      <c r="E109" s="40" t="s">
        <v>46</v>
      </c>
      <c r="F109" s="41">
        <v>55</v>
      </c>
      <c r="G109" s="42">
        <v>56</v>
      </c>
      <c r="H109" s="43"/>
      <c r="I109" s="44"/>
      <c r="J109" s="40">
        <v>90</v>
      </c>
      <c r="K109" s="45">
        <v>7</v>
      </c>
      <c r="L109" s="45">
        <v>0</v>
      </c>
      <c r="M109" s="45">
        <v>6</v>
      </c>
      <c r="N109" s="45"/>
      <c r="O109" s="46"/>
      <c r="P109" s="47">
        <f t="shared" si="41"/>
        <v>0.10374932395329073</v>
      </c>
      <c r="Q109" s="47">
        <f t="shared" si="42"/>
        <v>0.12120173039057425</v>
      </c>
      <c r="R109" s="47">
        <f t="shared" si="43"/>
        <v>-0.9871088799708131</v>
      </c>
      <c r="S109" s="48">
        <f t="shared" si="44"/>
        <v>49.436299131970706</v>
      </c>
      <c r="T109" s="48">
        <f t="shared" si="40"/>
        <v>-80.81891132138493</v>
      </c>
      <c r="U109" s="49">
        <f t="shared" si="45"/>
        <v>49.436299131970706</v>
      </c>
      <c r="V109" s="48">
        <f t="shared" si="22"/>
        <v>319.4362991319707</v>
      </c>
      <c r="W109" s="50">
        <f t="shared" si="46"/>
        <v>9.181088678615069</v>
      </c>
      <c r="X109" s="51"/>
      <c r="Y109" s="52"/>
      <c r="Z109" s="53"/>
      <c r="AA109" s="40">
        <v>0</v>
      </c>
      <c r="AB109" s="43">
        <v>96</v>
      </c>
      <c r="AC109" s="54">
        <v>135.8</v>
      </c>
      <c r="AD109" s="55">
        <v>-39.5</v>
      </c>
      <c r="AE109" s="49">
        <f t="shared" si="47"/>
        <v>93.6362991319707</v>
      </c>
      <c r="AF109" s="48">
        <f t="shared" si="30"/>
        <v>3.636299131970702</v>
      </c>
      <c r="AG109" s="48">
        <f t="shared" si="48"/>
        <v>9.181088678615069</v>
      </c>
      <c r="AH109" s="56"/>
      <c r="AI109" s="53"/>
    </row>
    <row r="110" spans="1:36" s="39" customFormat="1" ht="12.75">
      <c r="A110" s="81">
        <v>83.395</v>
      </c>
      <c r="B110" s="9" t="s">
        <v>44</v>
      </c>
      <c r="C110" s="1" t="s">
        <v>62</v>
      </c>
      <c r="D110" s="43">
        <v>2</v>
      </c>
      <c r="E110" s="40" t="s">
        <v>47</v>
      </c>
      <c r="F110" s="41">
        <v>86</v>
      </c>
      <c r="G110" s="42">
        <v>92</v>
      </c>
      <c r="H110" s="43"/>
      <c r="I110" s="44"/>
      <c r="J110" s="40">
        <v>270</v>
      </c>
      <c r="K110" s="45">
        <v>52</v>
      </c>
      <c r="L110" s="45">
        <v>150</v>
      </c>
      <c r="M110" s="45">
        <v>0</v>
      </c>
      <c r="N110" s="45"/>
      <c r="O110" s="46"/>
      <c r="P110" s="47">
        <f t="shared" si="41"/>
        <v>-0.3940053768033609</v>
      </c>
      <c r="Q110" s="47">
        <f t="shared" si="42"/>
        <v>-0.6824373310787412</v>
      </c>
      <c r="R110" s="47">
        <f t="shared" si="43"/>
        <v>-0.5331784777634265</v>
      </c>
      <c r="S110" s="48">
        <f t="shared" si="44"/>
        <v>240</v>
      </c>
      <c r="T110" s="48">
        <f t="shared" si="40"/>
        <v>-34.08280069392245</v>
      </c>
      <c r="U110" s="49">
        <f t="shared" si="45"/>
        <v>240</v>
      </c>
      <c r="V110" s="48">
        <f t="shared" si="22"/>
        <v>150</v>
      </c>
      <c r="W110" s="50">
        <f t="shared" si="46"/>
        <v>55.91719930607755</v>
      </c>
      <c r="X110" s="51"/>
      <c r="Y110" s="52"/>
      <c r="Z110" s="53" t="s">
        <v>48</v>
      </c>
      <c r="AA110" s="40">
        <v>0</v>
      </c>
      <c r="AB110" s="43">
        <v>96</v>
      </c>
      <c r="AC110" s="54">
        <v>24.6</v>
      </c>
      <c r="AD110" s="55">
        <v>36.5</v>
      </c>
      <c r="AE110" s="49">
        <f t="shared" si="47"/>
        <v>215.4</v>
      </c>
      <c r="AF110" s="48">
        <f t="shared" si="30"/>
        <v>125.4</v>
      </c>
      <c r="AG110" s="48">
        <f t="shared" si="48"/>
        <v>55.91719930607755</v>
      </c>
      <c r="AH110" s="56"/>
      <c r="AI110" s="53" t="str">
        <f>Z110</f>
        <v>N</v>
      </c>
      <c r="AJ110" s="39" t="s">
        <v>111</v>
      </c>
    </row>
    <row r="111" spans="1:35" s="39" customFormat="1" ht="12.75">
      <c r="A111" s="81">
        <v>82.965</v>
      </c>
      <c r="B111" s="9" t="s">
        <v>44</v>
      </c>
      <c r="C111" s="1" t="s">
        <v>62</v>
      </c>
      <c r="D111" s="43">
        <v>2</v>
      </c>
      <c r="E111" s="40" t="s">
        <v>46</v>
      </c>
      <c r="F111" s="41">
        <v>43</v>
      </c>
      <c r="G111" s="42">
        <v>43</v>
      </c>
      <c r="H111" s="43"/>
      <c r="I111" s="44"/>
      <c r="J111" s="40">
        <v>90</v>
      </c>
      <c r="K111" s="45">
        <v>7</v>
      </c>
      <c r="L111" s="45">
        <v>0</v>
      </c>
      <c r="M111" s="45">
        <v>14</v>
      </c>
      <c r="N111" s="45"/>
      <c r="O111" s="46"/>
      <c r="P111" s="47">
        <f t="shared" si="41"/>
        <v>0.24011864647522388</v>
      </c>
      <c r="Q111" s="47">
        <f t="shared" si="42"/>
        <v>0.11824930307007638</v>
      </c>
      <c r="R111" s="47">
        <f t="shared" si="43"/>
        <v>-0.9630632890692619</v>
      </c>
      <c r="S111" s="48">
        <f t="shared" si="44"/>
        <v>26.218492866812383</v>
      </c>
      <c r="T111" s="48">
        <f t="shared" si="40"/>
        <v>-74.4682309718619</v>
      </c>
      <c r="U111" s="49">
        <f t="shared" si="45"/>
        <v>26.218492866812383</v>
      </c>
      <c r="V111" s="48">
        <f t="shared" si="22"/>
        <v>296.21849286681237</v>
      </c>
      <c r="W111" s="50">
        <f t="shared" si="46"/>
        <v>15.5317690281381</v>
      </c>
      <c r="X111" s="51"/>
      <c r="Y111" s="52"/>
      <c r="Z111" s="53"/>
      <c r="AA111" s="40">
        <v>0</v>
      </c>
      <c r="AB111" s="43">
        <v>96</v>
      </c>
      <c r="AC111" s="54"/>
      <c r="AD111" s="55"/>
      <c r="AE111" s="49">
        <f t="shared" si="47"/>
        <v>26.218492866812383</v>
      </c>
      <c r="AF111" s="48">
        <f t="shared" si="30"/>
        <v>296.21849286681237</v>
      </c>
      <c r="AG111" s="48">
        <f t="shared" si="48"/>
        <v>15.5317690281381</v>
      </c>
      <c r="AH111" s="56"/>
      <c r="AI111" s="53"/>
    </row>
    <row r="112" spans="1:35" s="39" customFormat="1" ht="12.75">
      <c r="A112" s="81">
        <v>83.615</v>
      </c>
      <c r="B112" s="9" t="s">
        <v>44</v>
      </c>
      <c r="C112" s="1" t="s">
        <v>62</v>
      </c>
      <c r="D112" s="43">
        <v>3</v>
      </c>
      <c r="E112" s="40" t="s">
        <v>46</v>
      </c>
      <c r="F112" s="41">
        <v>10</v>
      </c>
      <c r="G112" s="42">
        <v>10</v>
      </c>
      <c r="H112" s="43"/>
      <c r="I112" s="44"/>
      <c r="J112" s="40">
        <v>90</v>
      </c>
      <c r="K112" s="45">
        <v>3</v>
      </c>
      <c r="L112" s="45">
        <v>0</v>
      </c>
      <c r="M112" s="45">
        <v>10</v>
      </c>
      <c r="N112" s="45"/>
      <c r="O112" s="46"/>
      <c r="P112" s="47">
        <f t="shared" si="41"/>
        <v>0.1734101988745062</v>
      </c>
      <c r="Q112" s="47">
        <f t="shared" si="42"/>
        <v>0.051540855469358736</v>
      </c>
      <c r="R112" s="47">
        <f t="shared" si="43"/>
        <v>-0.9834581082132785</v>
      </c>
      <c r="S112" s="48">
        <f t="shared" si="44"/>
        <v>16.55296453948533</v>
      </c>
      <c r="T112" s="48">
        <f t="shared" si="40"/>
        <v>-79.57693581712378</v>
      </c>
      <c r="U112" s="49">
        <f t="shared" si="45"/>
        <v>16.55296453948533</v>
      </c>
      <c r="V112" s="48">
        <f t="shared" si="22"/>
        <v>286.55296453948534</v>
      </c>
      <c r="W112" s="50">
        <f t="shared" si="46"/>
        <v>10.423064182876217</v>
      </c>
      <c r="X112" s="51"/>
      <c r="Y112" s="52"/>
      <c r="Z112" s="53"/>
      <c r="AA112" s="40">
        <v>0</v>
      </c>
      <c r="AB112" s="43">
        <v>84</v>
      </c>
      <c r="AC112" s="54">
        <v>10.1</v>
      </c>
      <c r="AD112" s="55">
        <v>-41.1</v>
      </c>
      <c r="AE112" s="49">
        <f t="shared" si="47"/>
        <v>186.45296453948532</v>
      </c>
      <c r="AF112" s="48">
        <f t="shared" si="30"/>
        <v>96.45296453948532</v>
      </c>
      <c r="AG112" s="48">
        <f t="shared" si="48"/>
        <v>10.423064182876217</v>
      </c>
      <c r="AH112" s="56"/>
      <c r="AI112" s="53"/>
    </row>
    <row r="113" spans="1:35" s="39" customFormat="1" ht="12.75">
      <c r="A113" s="81">
        <v>83.835</v>
      </c>
      <c r="B113" s="9" t="s">
        <v>44</v>
      </c>
      <c r="C113" s="1" t="s">
        <v>62</v>
      </c>
      <c r="D113" s="43">
        <v>3</v>
      </c>
      <c r="E113" s="40" t="s">
        <v>46</v>
      </c>
      <c r="F113" s="41">
        <v>32</v>
      </c>
      <c r="G113" s="42">
        <v>32</v>
      </c>
      <c r="H113" s="43"/>
      <c r="I113" s="44"/>
      <c r="J113" s="40">
        <v>90</v>
      </c>
      <c r="K113" s="45">
        <v>6</v>
      </c>
      <c r="L113" s="45">
        <v>0</v>
      </c>
      <c r="M113" s="45">
        <v>5</v>
      </c>
      <c r="N113" s="45"/>
      <c r="O113" s="46"/>
      <c r="P113" s="47">
        <f aca="true" t="shared" si="49" ref="P113:P157">COS(K113*PI()/180)*SIN(J113*PI()/180)*(SIN(M113*PI()/180))-(COS(M113*PI()/180)*SIN(L113*PI()/180))*(SIN(K113*PI()/180))</f>
        <v>0.08667829446963064</v>
      </c>
      <c r="Q113" s="47">
        <f aca="true" t="shared" si="50" ref="Q113:Q157">(SIN(K113*PI()/180))*(COS(M113*PI()/180)*COS(L113*PI()/180))-(SIN(M113*PI()/180))*(COS(K113*PI()/180)*COS(J113*PI()/180))</f>
        <v>0.10413070090691415</v>
      </c>
      <c r="R113" s="47">
        <f aca="true" t="shared" si="51" ref="R113:R157">(COS(K113*PI()/180)*COS(J113*PI()/180))*(COS(M113*PI()/180)*SIN(L113*PI()/180))-(COS(K113*PI()/180)*SIN(J113*PI()/180))*(COS(M113*PI()/180)*COS(L113*PI()/180))</f>
        <v>-0.9907374393020275</v>
      </c>
      <c r="S113" s="48">
        <f aca="true" t="shared" si="52" ref="S113:S157">IF(P113=0,IF(Q113&gt;=0,90,270),IF(P113&gt;0,IF(Q113&gt;=0,ATAN(Q113/P113)*180/PI(),ATAN(Q113/P113)*180/PI()+360),ATAN(Q113/P113)*180/PI()+180))</f>
        <v>50.22603585620645</v>
      </c>
      <c r="T113" s="48">
        <f t="shared" si="40"/>
        <v>-82.21297801271761</v>
      </c>
      <c r="U113" s="49">
        <f aca="true" t="shared" si="53" ref="U113:U157">IF(R113&lt;0,S113,IF(S113+180&gt;=360,S113-180,S113+180))</f>
        <v>50.22603585620645</v>
      </c>
      <c r="V113" s="48">
        <f t="shared" si="22"/>
        <v>320.22603585620647</v>
      </c>
      <c r="W113" s="50">
        <f aca="true" t="shared" si="54" ref="W113:W157">IF(R113&lt;0,90+T113,90-T113)</f>
        <v>7.787021987282387</v>
      </c>
      <c r="X113" s="51"/>
      <c r="Y113" s="52"/>
      <c r="Z113" s="53"/>
      <c r="AA113" s="40">
        <v>0</v>
      </c>
      <c r="AB113" s="43">
        <v>84</v>
      </c>
      <c r="AC113" s="54">
        <v>133.4</v>
      </c>
      <c r="AD113" s="55">
        <v>13.9</v>
      </c>
      <c r="AE113" s="49">
        <f aca="true" t="shared" si="55" ref="AE113:AE157">IF(AD113&gt;=0,IF(U113&gt;=AC113,U113-AC113,U113-AC113+360),IF((U113-AC113-180)&lt;0,IF(U113-AC113+180&lt;0,U113-AC113+540,U113-AC113+180),U113-AC113-180))</f>
        <v>276.82603585620643</v>
      </c>
      <c r="AF113" s="48">
        <f t="shared" si="30"/>
        <v>186.82603585620643</v>
      </c>
      <c r="AG113" s="48">
        <f aca="true" t="shared" si="56" ref="AG113:AG157">W113</f>
        <v>7.787021987282387</v>
      </c>
      <c r="AH113" s="56"/>
      <c r="AI113" s="53"/>
    </row>
    <row r="114" spans="1:35" s="39" customFormat="1" ht="12.75">
      <c r="A114" s="81">
        <v>84.015</v>
      </c>
      <c r="B114" s="9" t="s">
        <v>44</v>
      </c>
      <c r="C114" s="1" t="s">
        <v>62</v>
      </c>
      <c r="D114" s="43">
        <v>3</v>
      </c>
      <c r="E114" s="40" t="s">
        <v>46</v>
      </c>
      <c r="F114" s="41">
        <v>50</v>
      </c>
      <c r="G114" s="42">
        <v>50</v>
      </c>
      <c r="H114" s="43"/>
      <c r="I114" s="44"/>
      <c r="J114" s="40">
        <v>90</v>
      </c>
      <c r="K114" s="45">
        <v>4</v>
      </c>
      <c r="L114" s="45">
        <v>0</v>
      </c>
      <c r="M114" s="45">
        <v>3</v>
      </c>
      <c r="N114" s="45"/>
      <c r="O114" s="46"/>
      <c r="P114" s="47">
        <f t="shared" si="49"/>
        <v>0.05220846848393198</v>
      </c>
      <c r="Q114" s="47">
        <f t="shared" si="50"/>
        <v>0.06966087492121549</v>
      </c>
      <c r="R114" s="47">
        <f t="shared" si="51"/>
        <v>-0.9961969233988566</v>
      </c>
      <c r="S114" s="48">
        <f t="shared" si="52"/>
        <v>53.149682880599386</v>
      </c>
      <c r="T114" s="48">
        <f t="shared" si="40"/>
        <v>-85.00583060689412</v>
      </c>
      <c r="U114" s="49">
        <f t="shared" si="53"/>
        <v>53.149682880599386</v>
      </c>
      <c r="V114" s="48">
        <f t="shared" si="22"/>
        <v>323.14968288059936</v>
      </c>
      <c r="W114" s="50">
        <f t="shared" si="54"/>
        <v>4.994169393105878</v>
      </c>
      <c r="X114" s="51"/>
      <c r="Y114" s="52"/>
      <c r="Z114" s="53"/>
      <c r="AA114" s="40">
        <v>0</v>
      </c>
      <c r="AB114" s="43">
        <v>84</v>
      </c>
      <c r="AC114" s="54">
        <v>131.7</v>
      </c>
      <c r="AD114" s="55">
        <v>-54.6</v>
      </c>
      <c r="AE114" s="49">
        <f t="shared" si="55"/>
        <v>101.4496828805994</v>
      </c>
      <c r="AF114" s="48">
        <f t="shared" si="30"/>
        <v>11.449682880599397</v>
      </c>
      <c r="AG114" s="48">
        <f t="shared" si="56"/>
        <v>4.994169393105878</v>
      </c>
      <c r="AH114" s="56"/>
      <c r="AI114" s="53"/>
    </row>
    <row r="115" spans="1:35" s="39" customFormat="1" ht="12.75">
      <c r="A115" s="81">
        <v>84.435</v>
      </c>
      <c r="B115" s="9" t="s">
        <v>44</v>
      </c>
      <c r="C115" s="1" t="s">
        <v>62</v>
      </c>
      <c r="D115" s="43">
        <v>3</v>
      </c>
      <c r="E115" s="40" t="s">
        <v>46</v>
      </c>
      <c r="F115" s="41">
        <v>92</v>
      </c>
      <c r="G115" s="42">
        <v>92</v>
      </c>
      <c r="H115" s="43"/>
      <c r="I115" s="44"/>
      <c r="J115" s="40">
        <v>90</v>
      </c>
      <c r="K115" s="45">
        <v>0</v>
      </c>
      <c r="L115" s="45">
        <v>0</v>
      </c>
      <c r="M115" s="45">
        <v>3</v>
      </c>
      <c r="N115" s="45"/>
      <c r="O115" s="46"/>
      <c r="P115" s="47">
        <f t="shared" si="49"/>
        <v>0.05233595624294383</v>
      </c>
      <c r="Q115" s="47">
        <f t="shared" si="50"/>
        <v>-3.2046530646618547E-18</v>
      </c>
      <c r="R115" s="47">
        <f t="shared" si="51"/>
        <v>-0.9986295347545738</v>
      </c>
      <c r="S115" s="48">
        <f t="shared" si="52"/>
        <v>360</v>
      </c>
      <c r="T115" s="48">
        <f t="shared" si="40"/>
        <v>-87.00000000000007</v>
      </c>
      <c r="U115" s="49">
        <f t="shared" si="53"/>
        <v>360</v>
      </c>
      <c r="V115" s="48">
        <f t="shared" si="22"/>
        <v>270</v>
      </c>
      <c r="W115" s="50">
        <f t="shared" si="54"/>
        <v>2.999999999999929</v>
      </c>
      <c r="X115" s="51"/>
      <c r="Y115" s="52"/>
      <c r="Z115" s="53"/>
      <c r="AA115" s="40">
        <v>0</v>
      </c>
      <c r="AB115" s="43">
        <v>84</v>
      </c>
      <c r="AC115" s="54">
        <v>155.6</v>
      </c>
      <c r="AD115" s="55">
        <v>-12.9</v>
      </c>
      <c r="AE115" s="49">
        <f t="shared" si="55"/>
        <v>24.400000000000006</v>
      </c>
      <c r="AF115" s="48">
        <f t="shared" si="30"/>
        <v>294.4</v>
      </c>
      <c r="AG115" s="48">
        <f t="shared" si="56"/>
        <v>2.999999999999929</v>
      </c>
      <c r="AH115" s="56"/>
      <c r="AI115" s="53"/>
    </row>
    <row r="116" spans="1:35" s="39" customFormat="1" ht="12.75">
      <c r="A116" s="81">
        <v>85.315</v>
      </c>
      <c r="B116" s="9" t="s">
        <v>44</v>
      </c>
      <c r="C116" s="1" t="s">
        <v>62</v>
      </c>
      <c r="D116" s="43">
        <v>4</v>
      </c>
      <c r="E116" s="40" t="s">
        <v>46</v>
      </c>
      <c r="F116" s="41">
        <v>65</v>
      </c>
      <c r="G116" s="42">
        <v>65</v>
      </c>
      <c r="H116" s="43"/>
      <c r="I116" s="44"/>
      <c r="J116" s="40">
        <v>90</v>
      </c>
      <c r="K116" s="45">
        <v>9</v>
      </c>
      <c r="L116" s="45">
        <v>180</v>
      </c>
      <c r="M116" s="45">
        <v>4</v>
      </c>
      <c r="N116" s="45"/>
      <c r="O116" s="46"/>
      <c r="P116" s="47">
        <f t="shared" si="49"/>
        <v>0.0688976557981034</v>
      </c>
      <c r="Q116" s="47">
        <f t="shared" si="50"/>
        <v>-0.15605339854576158</v>
      </c>
      <c r="R116" s="47">
        <f t="shared" si="51"/>
        <v>0.9852823814384903</v>
      </c>
      <c r="S116" s="48">
        <f t="shared" si="52"/>
        <v>293.8214830925075</v>
      </c>
      <c r="T116" s="48">
        <f t="shared" si="40"/>
        <v>80.17752295184955</v>
      </c>
      <c r="U116" s="49">
        <f t="shared" si="53"/>
        <v>113.82148309250749</v>
      </c>
      <c r="V116" s="48">
        <f t="shared" si="22"/>
        <v>23.821483092507492</v>
      </c>
      <c r="W116" s="50">
        <f t="shared" si="54"/>
        <v>9.822477048150446</v>
      </c>
      <c r="X116" s="51"/>
      <c r="Y116" s="52"/>
      <c r="Z116" s="53"/>
      <c r="AA116" s="40">
        <v>56</v>
      </c>
      <c r="AB116" s="43">
        <v>78</v>
      </c>
      <c r="AC116" s="54">
        <v>151.6</v>
      </c>
      <c r="AD116" s="55">
        <v>55.3</v>
      </c>
      <c r="AE116" s="49">
        <f t="shared" si="55"/>
        <v>322.22148309250747</v>
      </c>
      <c r="AF116" s="48">
        <f t="shared" si="30"/>
        <v>232.22148309250747</v>
      </c>
      <c r="AG116" s="48">
        <f t="shared" si="56"/>
        <v>9.822477048150446</v>
      </c>
      <c r="AH116" s="56"/>
      <c r="AI116" s="53"/>
    </row>
    <row r="117" spans="1:35" s="39" customFormat="1" ht="12.75">
      <c r="A117" s="81">
        <v>85.525</v>
      </c>
      <c r="B117" s="9" t="s">
        <v>44</v>
      </c>
      <c r="C117" s="1" t="s">
        <v>62</v>
      </c>
      <c r="D117" s="43">
        <v>4</v>
      </c>
      <c r="E117" s="40" t="s">
        <v>46</v>
      </c>
      <c r="F117" s="41">
        <v>86</v>
      </c>
      <c r="G117" s="42">
        <v>86</v>
      </c>
      <c r="H117" s="43"/>
      <c r="I117" s="44"/>
      <c r="J117" s="40">
        <v>90</v>
      </c>
      <c r="K117" s="45">
        <v>8</v>
      </c>
      <c r="L117" s="45">
        <v>0</v>
      </c>
      <c r="M117" s="45">
        <v>3</v>
      </c>
      <c r="N117" s="45"/>
      <c r="O117" s="46"/>
      <c r="P117" s="47">
        <f t="shared" si="49"/>
        <v>0.05182662631444332</v>
      </c>
      <c r="Q117" s="47">
        <f t="shared" si="50"/>
        <v>0.13898236906210149</v>
      </c>
      <c r="R117" s="47">
        <f t="shared" si="51"/>
        <v>-0.9889109407697048</v>
      </c>
      <c r="S117" s="48">
        <f t="shared" si="52"/>
        <v>69.54947804987331</v>
      </c>
      <c r="T117" s="48">
        <f t="shared" si="40"/>
        <v>-81.46955163874233</v>
      </c>
      <c r="U117" s="49">
        <f t="shared" si="53"/>
        <v>69.54947804987331</v>
      </c>
      <c r="V117" s="48">
        <f t="shared" si="22"/>
        <v>339.5494780498733</v>
      </c>
      <c r="W117" s="50">
        <f t="shared" si="54"/>
        <v>8.530448361257669</v>
      </c>
      <c r="X117" s="51"/>
      <c r="Y117" s="52"/>
      <c r="Z117" s="53"/>
      <c r="AA117" s="40">
        <v>80</v>
      </c>
      <c r="AB117" s="43">
        <v>125</v>
      </c>
      <c r="AC117" s="54">
        <v>161.5</v>
      </c>
      <c r="AD117" s="55">
        <v>34.5</v>
      </c>
      <c r="AE117" s="49">
        <f t="shared" si="55"/>
        <v>268.0494780498733</v>
      </c>
      <c r="AF117" s="48">
        <f t="shared" si="30"/>
        <v>178.0494780498733</v>
      </c>
      <c r="AG117" s="48">
        <f t="shared" si="56"/>
        <v>8.530448361257669</v>
      </c>
      <c r="AH117" s="56"/>
      <c r="AI117" s="53"/>
    </row>
    <row r="118" spans="1:35" s="39" customFormat="1" ht="21">
      <c r="A118" s="81">
        <v>85.715</v>
      </c>
      <c r="B118" s="9" t="s">
        <v>44</v>
      </c>
      <c r="C118" s="1" t="s">
        <v>62</v>
      </c>
      <c r="D118" s="43">
        <v>4</v>
      </c>
      <c r="E118" s="40" t="s">
        <v>46</v>
      </c>
      <c r="F118" s="41">
        <v>105</v>
      </c>
      <c r="G118" s="42">
        <v>105</v>
      </c>
      <c r="H118" s="43"/>
      <c r="I118" s="44"/>
      <c r="J118" s="40">
        <v>90</v>
      </c>
      <c r="K118" s="45">
        <v>2</v>
      </c>
      <c r="L118" s="45">
        <v>0</v>
      </c>
      <c r="M118" s="45">
        <v>5</v>
      </c>
      <c r="N118" s="45"/>
      <c r="O118" s="46"/>
      <c r="P118" s="47">
        <f t="shared" si="49"/>
        <v>0.08710264982404566</v>
      </c>
      <c r="Q118" s="47">
        <f t="shared" si="50"/>
        <v>0.034766693581101814</v>
      </c>
      <c r="R118" s="47">
        <f t="shared" si="51"/>
        <v>-0.995587843197948</v>
      </c>
      <c r="S118" s="48">
        <f t="shared" si="52"/>
        <v>21.759226479557604</v>
      </c>
      <c r="T118" s="48">
        <f t="shared" si="40"/>
        <v>-84.61859152100902</v>
      </c>
      <c r="U118" s="49">
        <f t="shared" si="53"/>
        <v>21.759226479557604</v>
      </c>
      <c r="V118" s="48">
        <f t="shared" si="22"/>
        <v>291.7592264795576</v>
      </c>
      <c r="W118" s="50">
        <f t="shared" si="54"/>
        <v>5.381408478990977</v>
      </c>
      <c r="X118" s="51"/>
      <c r="Y118" s="52"/>
      <c r="Z118" s="53"/>
      <c r="AA118" s="40">
        <v>80</v>
      </c>
      <c r="AB118" s="43">
        <v>125</v>
      </c>
      <c r="AC118" s="54">
        <v>254.7</v>
      </c>
      <c r="AD118" s="55">
        <v>56.9</v>
      </c>
      <c r="AE118" s="49">
        <f t="shared" si="55"/>
        <v>127.05922647955762</v>
      </c>
      <c r="AF118" s="48">
        <f t="shared" si="30"/>
        <v>37.05922647955762</v>
      </c>
      <c r="AG118" s="48">
        <f t="shared" si="56"/>
        <v>5.381408478990977</v>
      </c>
      <c r="AH118" s="56"/>
      <c r="AI118" s="53"/>
    </row>
    <row r="119" spans="1:35" s="39" customFormat="1" ht="12.75">
      <c r="A119" s="81">
        <v>85.995</v>
      </c>
      <c r="B119" s="9" t="s">
        <v>44</v>
      </c>
      <c r="C119" s="1" t="s">
        <v>62</v>
      </c>
      <c r="D119" s="43">
        <v>4</v>
      </c>
      <c r="E119" s="40" t="s">
        <v>46</v>
      </c>
      <c r="F119" s="41">
        <v>133</v>
      </c>
      <c r="G119" s="42">
        <v>133</v>
      </c>
      <c r="H119" s="43"/>
      <c r="I119" s="44"/>
      <c r="J119" s="40">
        <v>90</v>
      </c>
      <c r="K119" s="45">
        <v>10</v>
      </c>
      <c r="L119" s="45">
        <v>180</v>
      </c>
      <c r="M119" s="45">
        <v>3</v>
      </c>
      <c r="N119" s="45"/>
      <c r="O119" s="46"/>
      <c r="P119" s="47">
        <f t="shared" si="49"/>
        <v>0.05154085546935873</v>
      </c>
      <c r="Q119" s="47">
        <f t="shared" si="50"/>
        <v>-0.1734101988745062</v>
      </c>
      <c r="R119" s="47">
        <f t="shared" si="51"/>
        <v>0.9834581082132785</v>
      </c>
      <c r="S119" s="48">
        <f t="shared" si="52"/>
        <v>286.55296453948534</v>
      </c>
      <c r="T119" s="48">
        <f t="shared" si="40"/>
        <v>79.57693581712375</v>
      </c>
      <c r="U119" s="49">
        <f t="shared" si="53"/>
        <v>106.55296453948534</v>
      </c>
      <c r="V119" s="48">
        <f t="shared" si="22"/>
        <v>16.552964539485345</v>
      </c>
      <c r="W119" s="50">
        <f t="shared" si="54"/>
        <v>10.423064182876246</v>
      </c>
      <c r="X119" s="51"/>
      <c r="Y119" s="52"/>
      <c r="Z119" s="53"/>
      <c r="AA119" s="40">
        <v>130</v>
      </c>
      <c r="AB119" s="43">
        <v>140</v>
      </c>
      <c r="AC119" s="54">
        <v>137.8</v>
      </c>
      <c r="AD119" s="55">
        <v>-9</v>
      </c>
      <c r="AE119" s="49">
        <f t="shared" si="55"/>
        <v>148.75296453948533</v>
      </c>
      <c r="AF119" s="48">
        <f t="shared" si="30"/>
        <v>58.75296453948533</v>
      </c>
      <c r="AG119" s="48">
        <f t="shared" si="56"/>
        <v>10.423064182876246</v>
      </c>
      <c r="AH119" s="56"/>
      <c r="AI119" s="53"/>
    </row>
    <row r="120" spans="1:35" s="39" customFormat="1" ht="12.75">
      <c r="A120" s="81">
        <v>86.19</v>
      </c>
      <c r="B120" s="9" t="s">
        <v>44</v>
      </c>
      <c r="C120" s="1" t="s">
        <v>62</v>
      </c>
      <c r="D120" s="43">
        <v>5</v>
      </c>
      <c r="E120" s="40" t="s">
        <v>46</v>
      </c>
      <c r="F120" s="41">
        <v>10.5</v>
      </c>
      <c r="G120" s="42">
        <v>10.5</v>
      </c>
      <c r="H120" s="43"/>
      <c r="I120" s="44"/>
      <c r="J120" s="40">
        <v>90</v>
      </c>
      <c r="K120" s="45">
        <v>0</v>
      </c>
      <c r="L120" s="45">
        <v>180</v>
      </c>
      <c r="M120" s="45">
        <v>9</v>
      </c>
      <c r="N120" s="45"/>
      <c r="O120" s="46"/>
      <c r="P120" s="47">
        <f t="shared" si="49"/>
        <v>0.15643446504023087</v>
      </c>
      <c r="Q120" s="47">
        <f t="shared" si="50"/>
        <v>-9.578848344392363E-18</v>
      </c>
      <c r="R120" s="47">
        <f t="shared" si="51"/>
        <v>0.9876883405951378</v>
      </c>
      <c r="S120" s="48">
        <f t="shared" si="52"/>
        <v>360</v>
      </c>
      <c r="T120" s="48">
        <f t="shared" si="40"/>
        <v>81.00000000000001</v>
      </c>
      <c r="U120" s="49">
        <f t="shared" si="53"/>
        <v>180</v>
      </c>
      <c r="V120" s="48">
        <f t="shared" si="22"/>
        <v>90</v>
      </c>
      <c r="W120" s="50">
        <f t="shared" si="54"/>
        <v>8.999999999999986</v>
      </c>
      <c r="X120" s="51"/>
      <c r="Y120" s="52"/>
      <c r="Z120" s="53"/>
      <c r="AA120" s="40">
        <v>0</v>
      </c>
      <c r="AB120" s="43">
        <v>36</v>
      </c>
      <c r="AC120" s="54">
        <v>144.9</v>
      </c>
      <c r="AD120" s="55">
        <v>21.3</v>
      </c>
      <c r="AE120" s="49">
        <f t="shared" si="55"/>
        <v>35.099999999999994</v>
      </c>
      <c r="AF120" s="48">
        <f t="shared" si="30"/>
        <v>305.1</v>
      </c>
      <c r="AG120" s="48">
        <f t="shared" si="56"/>
        <v>8.999999999999986</v>
      </c>
      <c r="AH120" s="56"/>
      <c r="AI120" s="53"/>
    </row>
    <row r="121" spans="1:35" s="39" customFormat="1" ht="12.75">
      <c r="A121" s="81">
        <v>86.385</v>
      </c>
      <c r="B121" s="9" t="s">
        <v>44</v>
      </c>
      <c r="C121" s="1" t="s">
        <v>62</v>
      </c>
      <c r="D121" s="43">
        <v>5</v>
      </c>
      <c r="E121" s="40" t="s">
        <v>46</v>
      </c>
      <c r="F121" s="41">
        <v>30</v>
      </c>
      <c r="G121" s="42">
        <v>30</v>
      </c>
      <c r="H121" s="43"/>
      <c r="I121" s="44"/>
      <c r="J121" s="40">
        <v>90</v>
      </c>
      <c r="K121" s="45">
        <v>5</v>
      </c>
      <c r="L121" s="45">
        <v>0</v>
      </c>
      <c r="M121" s="45">
        <v>9</v>
      </c>
      <c r="N121" s="45"/>
      <c r="O121" s="46"/>
      <c r="P121" s="47">
        <f t="shared" si="49"/>
        <v>0.1558391846718965</v>
      </c>
      <c r="Q121" s="47">
        <f t="shared" si="50"/>
        <v>0.0860827109277712</v>
      </c>
      <c r="R121" s="47">
        <f t="shared" si="51"/>
        <v>-0.9839298882679104</v>
      </c>
      <c r="S121" s="48">
        <f t="shared" si="52"/>
        <v>28.915456365919972</v>
      </c>
      <c r="T121" s="48">
        <f t="shared" si="40"/>
        <v>-79.74377297772563</v>
      </c>
      <c r="U121" s="49">
        <f t="shared" si="53"/>
        <v>28.915456365919972</v>
      </c>
      <c r="V121" s="48">
        <f t="shared" si="22"/>
        <v>298.91545636591997</v>
      </c>
      <c r="W121" s="50">
        <f t="shared" si="54"/>
        <v>10.256227022274373</v>
      </c>
      <c r="X121" s="51"/>
      <c r="Y121" s="52"/>
      <c r="Z121" s="53"/>
      <c r="AA121" s="40">
        <v>0</v>
      </c>
      <c r="AB121" s="43">
        <v>36</v>
      </c>
      <c r="AC121" s="54">
        <v>133.4</v>
      </c>
      <c r="AD121" s="55">
        <v>20</v>
      </c>
      <c r="AE121" s="49">
        <f t="shared" si="55"/>
        <v>255.51545636591996</v>
      </c>
      <c r="AF121" s="48">
        <f t="shared" si="30"/>
        <v>165.51545636591996</v>
      </c>
      <c r="AG121" s="48">
        <f t="shared" si="56"/>
        <v>10.256227022274373</v>
      </c>
      <c r="AH121" s="56"/>
      <c r="AI121" s="53"/>
    </row>
    <row r="122" spans="1:35" s="39" customFormat="1" ht="21">
      <c r="A122" s="81">
        <v>86.905</v>
      </c>
      <c r="B122" s="9" t="s">
        <v>44</v>
      </c>
      <c r="C122" s="1" t="s">
        <v>62</v>
      </c>
      <c r="D122" s="43">
        <v>5</v>
      </c>
      <c r="E122" s="40" t="s">
        <v>46</v>
      </c>
      <c r="F122" s="41">
        <v>82</v>
      </c>
      <c r="G122" s="42">
        <v>82</v>
      </c>
      <c r="H122" s="43"/>
      <c r="I122" s="44"/>
      <c r="J122" s="40">
        <v>90</v>
      </c>
      <c r="K122" s="45">
        <v>9</v>
      </c>
      <c r="L122" s="45">
        <v>180</v>
      </c>
      <c r="M122" s="45">
        <v>2</v>
      </c>
      <c r="N122" s="45"/>
      <c r="O122" s="46"/>
      <c r="P122" s="47">
        <f t="shared" si="49"/>
        <v>0.03446982598569864</v>
      </c>
      <c r="Q122" s="47">
        <f t="shared" si="50"/>
        <v>-0.15633916939084616</v>
      </c>
      <c r="R122" s="47">
        <f t="shared" si="51"/>
        <v>0.987086667544493</v>
      </c>
      <c r="S122" s="48">
        <f t="shared" si="52"/>
        <v>282.4337062005511</v>
      </c>
      <c r="T122" s="48">
        <f t="shared" si="40"/>
        <v>80.78750626027323</v>
      </c>
      <c r="U122" s="49">
        <f t="shared" si="53"/>
        <v>102.43370620055111</v>
      </c>
      <c r="V122" s="48">
        <f t="shared" si="22"/>
        <v>12.433706200551114</v>
      </c>
      <c r="W122" s="50">
        <f t="shared" si="54"/>
        <v>9.212493739726767</v>
      </c>
      <c r="X122" s="51"/>
      <c r="Y122" s="52"/>
      <c r="Z122" s="53"/>
      <c r="AA122" s="40">
        <v>43</v>
      </c>
      <c r="AB122" s="43">
        <v>97</v>
      </c>
      <c r="AC122" s="54">
        <v>127.6</v>
      </c>
      <c r="AD122" s="55">
        <v>-20.2</v>
      </c>
      <c r="AE122" s="49">
        <f t="shared" si="55"/>
        <v>154.83370620055112</v>
      </c>
      <c r="AF122" s="48">
        <f t="shared" si="30"/>
        <v>64.83370620055112</v>
      </c>
      <c r="AG122" s="48">
        <f t="shared" si="56"/>
        <v>9.212493739726767</v>
      </c>
      <c r="AH122" s="56"/>
      <c r="AI122" s="53"/>
    </row>
    <row r="123" spans="1:35" s="39" customFormat="1" ht="12.75">
      <c r="A123" s="81">
        <v>91.41</v>
      </c>
      <c r="B123" s="9" t="s">
        <v>44</v>
      </c>
      <c r="C123" s="43" t="s">
        <v>63</v>
      </c>
      <c r="D123" s="43">
        <v>1</v>
      </c>
      <c r="E123" s="40" t="s">
        <v>46</v>
      </c>
      <c r="F123" s="41">
        <v>91</v>
      </c>
      <c r="G123" s="42">
        <v>92</v>
      </c>
      <c r="H123" s="43"/>
      <c r="I123" s="44"/>
      <c r="J123" s="40">
        <v>90</v>
      </c>
      <c r="K123" s="45">
        <v>6</v>
      </c>
      <c r="L123" s="45">
        <v>0</v>
      </c>
      <c r="M123" s="45">
        <v>8</v>
      </c>
      <c r="N123" s="45"/>
      <c r="O123" s="46"/>
      <c r="P123" s="47">
        <f t="shared" si="49"/>
        <v>0.13841069615108434</v>
      </c>
      <c r="Q123" s="47">
        <f t="shared" si="50"/>
        <v>0.10351119944858335</v>
      </c>
      <c r="R123" s="47">
        <f t="shared" si="51"/>
        <v>-0.9848432766475461</v>
      </c>
      <c r="S123" s="48">
        <f t="shared" si="52"/>
        <v>36.79117910834262</v>
      </c>
      <c r="T123" s="48">
        <f t="shared" si="40"/>
        <v>-80.04621733697256</v>
      </c>
      <c r="U123" s="49">
        <f t="shared" si="53"/>
        <v>36.79117910834262</v>
      </c>
      <c r="V123" s="48">
        <f t="shared" si="22"/>
        <v>306.7911791083426</v>
      </c>
      <c r="W123" s="50">
        <f t="shared" si="54"/>
        <v>9.95378266302744</v>
      </c>
      <c r="X123" s="51"/>
      <c r="Y123" s="52"/>
      <c r="Z123" s="53"/>
      <c r="AA123" s="40">
        <v>64</v>
      </c>
      <c r="AB123" s="43">
        <v>140</v>
      </c>
      <c r="AC123" s="54">
        <v>199.1</v>
      </c>
      <c r="AD123" s="55">
        <v>-19.5</v>
      </c>
      <c r="AE123" s="49">
        <f t="shared" si="55"/>
        <v>17.691179108342624</v>
      </c>
      <c r="AF123" s="48">
        <f t="shared" si="30"/>
        <v>287.6911791083426</v>
      </c>
      <c r="AG123" s="48">
        <f t="shared" si="56"/>
        <v>9.95378266302744</v>
      </c>
      <c r="AH123" s="56"/>
      <c r="AI123" s="53"/>
    </row>
    <row r="124" spans="1:35" s="39" customFormat="1" ht="21">
      <c r="A124" s="81">
        <v>92.77</v>
      </c>
      <c r="B124" s="9" t="s">
        <v>44</v>
      </c>
      <c r="C124" s="43" t="s">
        <v>63</v>
      </c>
      <c r="D124" s="43">
        <v>2</v>
      </c>
      <c r="E124" s="40" t="s">
        <v>46</v>
      </c>
      <c r="F124" s="41">
        <v>86</v>
      </c>
      <c r="G124" s="42">
        <v>87</v>
      </c>
      <c r="H124" s="43"/>
      <c r="I124" s="44"/>
      <c r="J124" s="40">
        <v>270</v>
      </c>
      <c r="K124" s="45">
        <v>5</v>
      </c>
      <c r="L124" s="45">
        <v>0</v>
      </c>
      <c r="M124" s="45">
        <v>1</v>
      </c>
      <c r="N124" s="45"/>
      <c r="O124" s="46"/>
      <c r="P124" s="47">
        <f t="shared" si="49"/>
        <v>-0.017385994761764084</v>
      </c>
      <c r="Q124" s="47">
        <f t="shared" si="50"/>
        <v>0.08714246850588939</v>
      </c>
      <c r="R124" s="47">
        <f t="shared" si="51"/>
        <v>0.9960429728140489</v>
      </c>
      <c r="S124" s="48">
        <f t="shared" si="52"/>
        <v>101.28306182052998</v>
      </c>
      <c r="T124" s="48">
        <f t="shared" si="40"/>
        <v>84.90197245232007</v>
      </c>
      <c r="U124" s="49">
        <f t="shared" si="53"/>
        <v>281.28306182052995</v>
      </c>
      <c r="V124" s="48">
        <f t="shared" si="22"/>
        <v>191.28306182052995</v>
      </c>
      <c r="W124" s="50">
        <f t="shared" si="54"/>
        <v>5.0980275476799335</v>
      </c>
      <c r="X124" s="51"/>
      <c r="Y124" s="52"/>
      <c r="Z124" s="53"/>
      <c r="AA124" s="40">
        <v>59</v>
      </c>
      <c r="AB124" s="43">
        <v>139</v>
      </c>
      <c r="AC124" s="54">
        <v>210.1</v>
      </c>
      <c r="AD124" s="55">
        <v>-17.9</v>
      </c>
      <c r="AE124" s="49">
        <f t="shared" si="55"/>
        <v>251.18306182052996</v>
      </c>
      <c r="AF124" s="48">
        <f t="shared" si="30"/>
        <v>161.18306182052996</v>
      </c>
      <c r="AG124" s="48">
        <f t="shared" si="56"/>
        <v>5.0980275476799335</v>
      </c>
      <c r="AH124" s="56"/>
      <c r="AI124" s="53"/>
    </row>
    <row r="125" spans="1:35" s="39" customFormat="1" ht="12.75">
      <c r="A125" s="81">
        <v>95.19</v>
      </c>
      <c r="B125" s="9" t="s">
        <v>44</v>
      </c>
      <c r="C125" s="43" t="s">
        <v>63</v>
      </c>
      <c r="D125" s="43">
        <v>5</v>
      </c>
      <c r="E125" s="40" t="s">
        <v>46</v>
      </c>
      <c r="F125" s="41">
        <v>18</v>
      </c>
      <c r="G125" s="42">
        <v>20</v>
      </c>
      <c r="H125" s="43"/>
      <c r="I125" s="44"/>
      <c r="J125" s="40">
        <v>90</v>
      </c>
      <c r="K125" s="45">
        <v>23</v>
      </c>
      <c r="L125" s="45">
        <v>0</v>
      </c>
      <c r="M125" s="45">
        <v>1</v>
      </c>
      <c r="N125" s="45"/>
      <c r="O125" s="46"/>
      <c r="P125" s="47">
        <f t="shared" si="49"/>
        <v>0.016065024829944086</v>
      </c>
      <c r="Q125" s="47">
        <f t="shared" si="50"/>
        <v>0.3906716182458561</v>
      </c>
      <c r="R125" s="47">
        <f t="shared" si="51"/>
        <v>-0.9203646561046942</v>
      </c>
      <c r="S125" s="48">
        <f t="shared" si="52"/>
        <v>87.64523508447087</v>
      </c>
      <c r="T125" s="48">
        <f t="shared" si="40"/>
        <v>-66.98258609042173</v>
      </c>
      <c r="U125" s="49">
        <f t="shared" si="53"/>
        <v>87.64523508447087</v>
      </c>
      <c r="V125" s="48">
        <f t="shared" si="22"/>
        <v>357.64523508447087</v>
      </c>
      <c r="W125" s="50">
        <f t="shared" si="54"/>
        <v>23.017413909578266</v>
      </c>
      <c r="X125" s="51"/>
      <c r="Y125" s="52"/>
      <c r="Z125" s="53"/>
      <c r="AA125" s="40">
        <v>0</v>
      </c>
      <c r="AB125" s="43">
        <v>31</v>
      </c>
      <c r="AC125" s="54">
        <v>203.4</v>
      </c>
      <c r="AD125" s="55">
        <v>-16.9</v>
      </c>
      <c r="AE125" s="49">
        <f t="shared" si="55"/>
        <v>64.24523508447086</v>
      </c>
      <c r="AF125" s="48">
        <f t="shared" si="30"/>
        <v>334.2452350844709</v>
      </c>
      <c r="AG125" s="48">
        <f t="shared" si="56"/>
        <v>23.017413909578266</v>
      </c>
      <c r="AH125" s="56"/>
      <c r="AI125" s="53"/>
    </row>
    <row r="126" spans="1:35" s="39" customFormat="1" ht="21">
      <c r="A126" s="81">
        <v>95.92</v>
      </c>
      <c r="B126" s="9" t="s">
        <v>44</v>
      </c>
      <c r="C126" s="43" t="s">
        <v>63</v>
      </c>
      <c r="D126" s="43">
        <v>5</v>
      </c>
      <c r="E126" s="40" t="s">
        <v>46</v>
      </c>
      <c r="F126" s="41">
        <v>91</v>
      </c>
      <c r="G126" s="42">
        <v>93</v>
      </c>
      <c r="H126" s="43"/>
      <c r="I126" s="44"/>
      <c r="J126" s="40">
        <v>90</v>
      </c>
      <c r="K126" s="45">
        <v>13</v>
      </c>
      <c r="L126" s="45">
        <v>0</v>
      </c>
      <c r="M126" s="45">
        <v>7</v>
      </c>
      <c r="N126" s="45"/>
      <c r="O126" s="46"/>
      <c r="P126" s="47">
        <f t="shared" si="49"/>
        <v>0.11874584002900763</v>
      </c>
      <c r="Q126" s="47">
        <f t="shared" si="50"/>
        <v>0.2232743032966611</v>
      </c>
      <c r="R126" s="47">
        <f t="shared" si="51"/>
        <v>-0.9671072580770909</v>
      </c>
      <c r="S126" s="48">
        <f t="shared" si="52"/>
        <v>61.994241243336845</v>
      </c>
      <c r="T126" s="48">
        <f t="shared" si="40"/>
        <v>-75.3459349540209</v>
      </c>
      <c r="U126" s="49">
        <f t="shared" si="53"/>
        <v>61.994241243336845</v>
      </c>
      <c r="V126" s="48">
        <f t="shared" si="22"/>
        <v>331.99424124333683</v>
      </c>
      <c r="W126" s="50">
        <f t="shared" si="54"/>
        <v>14.654065045979095</v>
      </c>
      <c r="X126" s="51"/>
      <c r="Y126" s="52"/>
      <c r="Z126" s="53"/>
      <c r="AA126" s="40">
        <v>51</v>
      </c>
      <c r="AB126" s="43">
        <v>117</v>
      </c>
      <c r="AC126" s="54">
        <v>236.6</v>
      </c>
      <c r="AD126" s="55">
        <v>47.3</v>
      </c>
      <c r="AE126" s="49">
        <f t="shared" si="55"/>
        <v>185.39424124333686</v>
      </c>
      <c r="AF126" s="48">
        <f t="shared" si="30"/>
        <v>95.39424124333686</v>
      </c>
      <c r="AG126" s="48">
        <f t="shared" si="56"/>
        <v>14.654065045979095</v>
      </c>
      <c r="AH126" s="56"/>
      <c r="AI126" s="53"/>
    </row>
    <row r="127" spans="1:35" s="39" customFormat="1" ht="12.75">
      <c r="A127" s="81">
        <v>97.025</v>
      </c>
      <c r="B127" s="9" t="s">
        <v>44</v>
      </c>
      <c r="C127" s="43" t="s">
        <v>63</v>
      </c>
      <c r="D127" s="43">
        <v>6</v>
      </c>
      <c r="E127" s="40" t="s">
        <v>46</v>
      </c>
      <c r="F127" s="41">
        <v>84</v>
      </c>
      <c r="G127" s="42">
        <v>85</v>
      </c>
      <c r="H127" s="43"/>
      <c r="I127" s="44"/>
      <c r="J127" s="40">
        <v>90</v>
      </c>
      <c r="K127" s="45">
        <v>8</v>
      </c>
      <c r="L127" s="45">
        <v>180</v>
      </c>
      <c r="M127" s="45">
        <v>2</v>
      </c>
      <c r="N127" s="45"/>
      <c r="O127" s="46"/>
      <c r="P127" s="47">
        <f t="shared" si="49"/>
        <v>0.03455985719963842</v>
      </c>
      <c r="Q127" s="47">
        <f t="shared" si="50"/>
        <v>-0.13908832046729191</v>
      </c>
      <c r="R127" s="47">
        <f t="shared" si="51"/>
        <v>0.9896648241902408</v>
      </c>
      <c r="S127" s="48">
        <f t="shared" si="52"/>
        <v>283.9539337793987</v>
      </c>
      <c r="T127" s="48">
        <f t="shared" si="40"/>
        <v>81.76003283137152</v>
      </c>
      <c r="U127" s="49">
        <f t="shared" si="53"/>
        <v>103.95393377939871</v>
      </c>
      <c r="V127" s="48">
        <f t="shared" si="22"/>
        <v>13.95393377939871</v>
      </c>
      <c r="W127" s="50">
        <f t="shared" si="54"/>
        <v>8.239967168628482</v>
      </c>
      <c r="X127" s="51"/>
      <c r="Y127" s="52"/>
      <c r="Z127" s="53"/>
      <c r="AA127" s="40">
        <v>81</v>
      </c>
      <c r="AB127" s="43">
        <v>111</v>
      </c>
      <c r="AC127" s="54">
        <v>219.6</v>
      </c>
      <c r="AD127" s="55">
        <v>7.1</v>
      </c>
      <c r="AE127" s="49">
        <f t="shared" si="55"/>
        <v>244.35393377939872</v>
      </c>
      <c r="AF127" s="48">
        <f t="shared" si="30"/>
        <v>154.35393377939872</v>
      </c>
      <c r="AG127" s="48">
        <f t="shared" si="56"/>
        <v>8.239967168628482</v>
      </c>
      <c r="AH127" s="56"/>
      <c r="AI127" s="53"/>
    </row>
    <row r="128" spans="1:35" s="39" customFormat="1" ht="12.75">
      <c r="A128" s="81">
        <v>98.24</v>
      </c>
      <c r="B128" s="9" t="s">
        <v>44</v>
      </c>
      <c r="C128" s="43" t="s">
        <v>63</v>
      </c>
      <c r="D128" s="43">
        <v>7</v>
      </c>
      <c r="E128" s="40" t="s">
        <v>46</v>
      </c>
      <c r="F128" s="41">
        <v>54</v>
      </c>
      <c r="G128" s="42">
        <v>54</v>
      </c>
      <c r="H128" s="43"/>
      <c r="I128" s="44"/>
      <c r="J128" s="40">
        <v>270</v>
      </c>
      <c r="K128" s="45">
        <v>1</v>
      </c>
      <c r="L128" s="45">
        <v>180</v>
      </c>
      <c r="M128" s="45">
        <v>4</v>
      </c>
      <c r="N128" s="45"/>
      <c r="O128" s="46"/>
      <c r="P128" s="47">
        <f t="shared" si="49"/>
        <v>-0.06974584949530101</v>
      </c>
      <c r="Q128" s="47">
        <f t="shared" si="50"/>
        <v>-0.017409893252357155</v>
      </c>
      <c r="R128" s="47">
        <f t="shared" si="51"/>
        <v>-0.9974121164231596</v>
      </c>
      <c r="S128" s="48">
        <f t="shared" si="52"/>
        <v>194.01569916405353</v>
      </c>
      <c r="T128" s="48">
        <f t="shared" si="40"/>
        <v>-85.87768053918494</v>
      </c>
      <c r="U128" s="49">
        <f t="shared" si="53"/>
        <v>194.01569916405353</v>
      </c>
      <c r="V128" s="48">
        <f t="shared" si="22"/>
        <v>104.01569916405353</v>
      </c>
      <c r="W128" s="50">
        <f t="shared" si="54"/>
        <v>4.1223194608150635</v>
      </c>
      <c r="X128" s="51"/>
      <c r="Y128" s="52"/>
      <c r="Z128" s="53"/>
      <c r="AA128" s="40">
        <v>43</v>
      </c>
      <c r="AB128" s="43">
        <v>105</v>
      </c>
      <c r="AC128" s="54">
        <v>221.6</v>
      </c>
      <c r="AD128" s="55">
        <v>-12.6</v>
      </c>
      <c r="AE128" s="49">
        <f t="shared" si="55"/>
        <v>152.41569916405354</v>
      </c>
      <c r="AF128" s="48">
        <f t="shared" si="30"/>
        <v>62.415699164053535</v>
      </c>
      <c r="AG128" s="48">
        <f t="shared" si="56"/>
        <v>4.1223194608150635</v>
      </c>
      <c r="AH128" s="56"/>
      <c r="AI128" s="53"/>
    </row>
    <row r="129" spans="1:35" s="39" customFormat="1" ht="12.75">
      <c r="A129" s="81">
        <v>99.66</v>
      </c>
      <c r="B129" s="9" t="s">
        <v>44</v>
      </c>
      <c r="C129" s="43" t="s">
        <v>63</v>
      </c>
      <c r="D129" s="43">
        <v>8</v>
      </c>
      <c r="E129" s="40" t="s">
        <v>46</v>
      </c>
      <c r="F129" s="41">
        <v>55</v>
      </c>
      <c r="G129" s="42">
        <v>55</v>
      </c>
      <c r="H129" s="43"/>
      <c r="I129" s="44"/>
      <c r="J129" s="40">
        <v>270</v>
      </c>
      <c r="K129" s="45">
        <v>2</v>
      </c>
      <c r="L129" s="45">
        <v>180</v>
      </c>
      <c r="M129" s="45">
        <v>9</v>
      </c>
      <c r="N129" s="45"/>
      <c r="O129" s="46"/>
      <c r="P129" s="47">
        <f t="shared" si="49"/>
        <v>-0.15633916939084616</v>
      </c>
      <c r="Q129" s="47">
        <f t="shared" si="50"/>
        <v>-0.034469825985698636</v>
      </c>
      <c r="R129" s="47">
        <f t="shared" si="51"/>
        <v>-0.987086667544493</v>
      </c>
      <c r="S129" s="48">
        <f t="shared" si="52"/>
        <v>192.43370620055114</v>
      </c>
      <c r="T129" s="48">
        <f t="shared" si="40"/>
        <v>-80.78750626027328</v>
      </c>
      <c r="U129" s="49">
        <f t="shared" si="53"/>
        <v>192.43370620055114</v>
      </c>
      <c r="V129" s="48">
        <f t="shared" si="22"/>
        <v>102.43370620055114</v>
      </c>
      <c r="W129" s="50">
        <f t="shared" si="54"/>
        <v>9.212493739726725</v>
      </c>
      <c r="X129" s="51"/>
      <c r="Y129" s="52"/>
      <c r="Z129" s="53"/>
      <c r="AA129" s="40">
        <v>0</v>
      </c>
      <c r="AB129" s="43">
        <v>70</v>
      </c>
      <c r="AC129" s="54">
        <v>234.3</v>
      </c>
      <c r="AD129" s="55">
        <v>-59.6</v>
      </c>
      <c r="AE129" s="49">
        <f t="shared" si="55"/>
        <v>138.13370620055113</v>
      </c>
      <c r="AF129" s="48">
        <f t="shared" si="30"/>
        <v>48.13370620055113</v>
      </c>
      <c r="AG129" s="48">
        <f t="shared" si="56"/>
        <v>9.212493739726725</v>
      </c>
      <c r="AH129" s="56"/>
      <c r="AI129" s="53"/>
    </row>
    <row r="130" spans="1:35" s="39" customFormat="1" ht="21">
      <c r="A130" s="81">
        <v>100.23</v>
      </c>
      <c r="B130" s="9" t="s">
        <v>44</v>
      </c>
      <c r="C130" s="43" t="s">
        <v>64</v>
      </c>
      <c r="D130" s="43">
        <v>1</v>
      </c>
      <c r="E130" s="40" t="s">
        <v>46</v>
      </c>
      <c r="F130" s="41">
        <v>23</v>
      </c>
      <c r="G130" s="42">
        <v>24</v>
      </c>
      <c r="H130" s="43"/>
      <c r="I130" s="44"/>
      <c r="J130" s="40">
        <v>90</v>
      </c>
      <c r="K130" s="45">
        <v>2</v>
      </c>
      <c r="L130" s="45">
        <v>0</v>
      </c>
      <c r="M130" s="45">
        <v>7</v>
      </c>
      <c r="N130" s="45"/>
      <c r="O130" s="46"/>
      <c r="P130" s="47">
        <f t="shared" si="49"/>
        <v>0.12179510389394452</v>
      </c>
      <c r="Q130" s="47">
        <f t="shared" si="50"/>
        <v>0.03463936114628634</v>
      </c>
      <c r="R130" s="47">
        <f t="shared" si="51"/>
        <v>-0.9919415193434417</v>
      </c>
      <c r="S130" s="48">
        <f t="shared" si="52"/>
        <v>15.876114782092577</v>
      </c>
      <c r="T130" s="48">
        <f t="shared" si="40"/>
        <v>-82.72531708215082</v>
      </c>
      <c r="U130" s="49">
        <f t="shared" si="53"/>
        <v>15.876114782092577</v>
      </c>
      <c r="V130" s="48">
        <f t="shared" si="22"/>
        <v>285.8761147820926</v>
      </c>
      <c r="W130" s="50">
        <f t="shared" si="54"/>
        <v>7.2746829178491765</v>
      </c>
      <c r="X130" s="51"/>
      <c r="Y130" s="52"/>
      <c r="Z130" s="53"/>
      <c r="AA130" s="40">
        <v>0</v>
      </c>
      <c r="AB130" s="43">
        <v>89</v>
      </c>
      <c r="AC130" s="54">
        <v>194.1</v>
      </c>
      <c r="AD130" s="55">
        <v>-9.1</v>
      </c>
      <c r="AE130" s="49">
        <f t="shared" si="55"/>
        <v>1.7761147820925771</v>
      </c>
      <c r="AF130" s="48">
        <f t="shared" si="30"/>
        <v>271.7761147820926</v>
      </c>
      <c r="AG130" s="48">
        <f t="shared" si="56"/>
        <v>7.2746829178491765</v>
      </c>
      <c r="AH130" s="56"/>
      <c r="AI130" s="53"/>
    </row>
    <row r="131" spans="1:35" s="39" customFormat="1" ht="12.75">
      <c r="A131" s="81">
        <v>100.46</v>
      </c>
      <c r="B131" s="9" t="s">
        <v>44</v>
      </c>
      <c r="C131" s="43" t="s">
        <v>64</v>
      </c>
      <c r="D131" s="43">
        <v>1</v>
      </c>
      <c r="E131" s="40" t="s">
        <v>46</v>
      </c>
      <c r="F131" s="41">
        <v>46</v>
      </c>
      <c r="G131" s="42">
        <v>47</v>
      </c>
      <c r="H131" s="43"/>
      <c r="I131" s="44"/>
      <c r="J131" s="40">
        <v>90</v>
      </c>
      <c r="K131" s="45">
        <v>1</v>
      </c>
      <c r="L131" s="45">
        <v>0</v>
      </c>
      <c r="M131" s="45">
        <v>6</v>
      </c>
      <c r="N131" s="45"/>
      <c r="O131" s="46"/>
      <c r="P131" s="47">
        <f t="shared" si="49"/>
        <v>0.10451254307640281</v>
      </c>
      <c r="Q131" s="47">
        <f t="shared" si="50"/>
        <v>0.017356800328744645</v>
      </c>
      <c r="R131" s="47">
        <f t="shared" si="51"/>
        <v>-0.9943704248665338</v>
      </c>
      <c r="S131" s="48">
        <f t="shared" si="52"/>
        <v>9.429271099419058</v>
      </c>
      <c r="T131" s="48">
        <f t="shared" si="40"/>
        <v>-83.91843294872977</v>
      </c>
      <c r="U131" s="49">
        <f t="shared" si="53"/>
        <v>9.429271099419058</v>
      </c>
      <c r="V131" s="48">
        <f t="shared" si="22"/>
        <v>279.42927109941905</v>
      </c>
      <c r="W131" s="50">
        <f t="shared" si="54"/>
        <v>6.081567051270227</v>
      </c>
      <c r="X131" s="51"/>
      <c r="Y131" s="52"/>
      <c r="Z131" s="53"/>
      <c r="AA131" s="40">
        <v>0</v>
      </c>
      <c r="AB131" s="43">
        <v>89</v>
      </c>
      <c r="AC131" s="54">
        <v>192.5</v>
      </c>
      <c r="AD131" s="55">
        <v>-4.6</v>
      </c>
      <c r="AE131" s="49">
        <f t="shared" si="55"/>
        <v>356.92927109941905</v>
      </c>
      <c r="AF131" s="48">
        <f t="shared" si="30"/>
        <v>266.92927109941905</v>
      </c>
      <c r="AG131" s="48">
        <f t="shared" si="56"/>
        <v>6.081567051270227</v>
      </c>
      <c r="AH131" s="56"/>
      <c r="AI131" s="53"/>
    </row>
    <row r="132" spans="1:35" s="39" customFormat="1" ht="12.75">
      <c r="A132" s="81">
        <v>100.995</v>
      </c>
      <c r="B132" s="9" t="s">
        <v>44</v>
      </c>
      <c r="C132" s="43" t="s">
        <v>64</v>
      </c>
      <c r="D132" s="43">
        <v>2</v>
      </c>
      <c r="E132" s="40" t="s">
        <v>46</v>
      </c>
      <c r="F132" s="41">
        <v>9</v>
      </c>
      <c r="G132" s="42">
        <v>10</v>
      </c>
      <c r="H132" s="43"/>
      <c r="I132" s="44"/>
      <c r="J132" s="40">
        <v>90</v>
      </c>
      <c r="K132" s="45">
        <v>2</v>
      </c>
      <c r="L132" s="45">
        <v>0</v>
      </c>
      <c r="M132" s="45">
        <v>8</v>
      </c>
      <c r="N132" s="45"/>
      <c r="O132" s="46"/>
      <c r="P132" s="47">
        <f t="shared" si="49"/>
        <v>0.13908832046729191</v>
      </c>
      <c r="Q132" s="47">
        <f t="shared" si="50"/>
        <v>0.03455985719963843</v>
      </c>
      <c r="R132" s="47">
        <f t="shared" si="51"/>
        <v>-0.9896648241902408</v>
      </c>
      <c r="S132" s="48">
        <f t="shared" si="52"/>
        <v>13.953933779398717</v>
      </c>
      <c r="T132" s="48">
        <f aca="true" t="shared" si="57" ref="T132:T195">ASIN(R132/SQRT(P132^2+Q132^2+R132^2))*180/PI()</f>
        <v>-81.76003283137152</v>
      </c>
      <c r="U132" s="49">
        <f t="shared" si="53"/>
        <v>13.953933779398717</v>
      </c>
      <c r="V132" s="48">
        <f t="shared" si="22"/>
        <v>283.9539337793987</v>
      </c>
      <c r="W132" s="50">
        <f t="shared" si="54"/>
        <v>8.239967168628482</v>
      </c>
      <c r="X132" s="51"/>
      <c r="Y132" s="52"/>
      <c r="Z132" s="53"/>
      <c r="AA132" s="40">
        <v>0</v>
      </c>
      <c r="AB132" s="43">
        <v>52</v>
      </c>
      <c r="AC132" s="54">
        <v>200.7</v>
      </c>
      <c r="AD132" s="55">
        <v>8.6</v>
      </c>
      <c r="AE132" s="49">
        <f t="shared" si="55"/>
        <v>173.25393377939872</v>
      </c>
      <c r="AF132" s="48">
        <f t="shared" si="30"/>
        <v>83.25393377939872</v>
      </c>
      <c r="AG132" s="48">
        <f t="shared" si="56"/>
        <v>8.239967168628482</v>
      </c>
      <c r="AH132" s="56"/>
      <c r="AI132" s="53"/>
    </row>
    <row r="133" spans="1:35" s="39" customFormat="1" ht="21">
      <c r="A133" s="81">
        <v>101.315</v>
      </c>
      <c r="B133" s="9" t="s">
        <v>44</v>
      </c>
      <c r="C133" s="43" t="s">
        <v>64</v>
      </c>
      <c r="D133" s="43">
        <v>2</v>
      </c>
      <c r="E133" s="40" t="s">
        <v>46</v>
      </c>
      <c r="F133" s="41">
        <v>41</v>
      </c>
      <c r="G133" s="42">
        <v>42</v>
      </c>
      <c r="H133" s="43"/>
      <c r="I133" s="44"/>
      <c r="J133" s="40">
        <v>270</v>
      </c>
      <c r="K133" s="45">
        <v>3</v>
      </c>
      <c r="L133" s="45">
        <v>180</v>
      </c>
      <c r="M133" s="45">
        <v>2</v>
      </c>
      <c r="N133" s="45"/>
      <c r="O133" s="46"/>
      <c r="P133" s="47">
        <f t="shared" si="49"/>
        <v>-0.03485166815518733</v>
      </c>
      <c r="Q133" s="47">
        <f t="shared" si="50"/>
        <v>-0.052304074592470835</v>
      </c>
      <c r="R133" s="47">
        <f t="shared" si="51"/>
        <v>-0.9980211966240684</v>
      </c>
      <c r="S133" s="48">
        <f t="shared" si="52"/>
        <v>236.32336918625154</v>
      </c>
      <c r="T133" s="48">
        <f t="shared" si="57"/>
        <v>-86.39647307521291</v>
      </c>
      <c r="U133" s="49">
        <f t="shared" si="53"/>
        <v>236.32336918625154</v>
      </c>
      <c r="V133" s="48">
        <f t="shared" si="22"/>
        <v>146.32336918625154</v>
      </c>
      <c r="W133" s="50">
        <f t="shared" si="54"/>
        <v>3.60352692478709</v>
      </c>
      <c r="X133" s="51"/>
      <c r="Y133" s="52"/>
      <c r="Z133" s="53"/>
      <c r="AA133" s="40">
        <v>0</v>
      </c>
      <c r="AB133" s="43">
        <v>52</v>
      </c>
      <c r="AC133" s="54">
        <v>205.9</v>
      </c>
      <c r="AD133" s="55">
        <v>-2.5</v>
      </c>
      <c r="AE133" s="49">
        <f t="shared" si="55"/>
        <v>210.42336918625153</v>
      </c>
      <c r="AF133" s="48">
        <f t="shared" si="30"/>
        <v>120.42336918625153</v>
      </c>
      <c r="AG133" s="48">
        <f t="shared" si="56"/>
        <v>3.60352692478709</v>
      </c>
      <c r="AH133" s="56"/>
      <c r="AI133" s="53"/>
    </row>
    <row r="134" spans="1:35" s="39" customFormat="1" ht="21">
      <c r="A134" s="81">
        <v>101.895</v>
      </c>
      <c r="B134" s="9" t="s">
        <v>44</v>
      </c>
      <c r="C134" s="43" t="s">
        <v>64</v>
      </c>
      <c r="D134" s="43">
        <v>2</v>
      </c>
      <c r="E134" s="40" t="s">
        <v>46</v>
      </c>
      <c r="F134" s="41">
        <v>99</v>
      </c>
      <c r="G134" s="42">
        <v>100</v>
      </c>
      <c r="H134" s="43"/>
      <c r="I134" s="44"/>
      <c r="J134" s="40">
        <v>270</v>
      </c>
      <c r="K134" s="45">
        <v>4</v>
      </c>
      <c r="L134" s="45">
        <v>0</v>
      </c>
      <c r="M134" s="45">
        <v>12</v>
      </c>
      <c r="N134" s="45"/>
      <c r="O134" s="46"/>
      <c r="P134" s="47">
        <f t="shared" si="49"/>
        <v>-0.2074052283885323</v>
      </c>
      <c r="Q134" s="47">
        <f t="shared" si="50"/>
        <v>0.06823212742846692</v>
      </c>
      <c r="R134" s="47">
        <f t="shared" si="51"/>
        <v>0.9757648823399446</v>
      </c>
      <c r="S134" s="48">
        <f t="shared" si="52"/>
        <v>161.78983956789773</v>
      </c>
      <c r="T134" s="48">
        <f t="shared" si="57"/>
        <v>77.38707326251307</v>
      </c>
      <c r="U134" s="49">
        <f t="shared" si="53"/>
        <v>341.78983956789773</v>
      </c>
      <c r="V134" s="48">
        <f t="shared" si="22"/>
        <v>251.78983956789773</v>
      </c>
      <c r="W134" s="50">
        <f t="shared" si="54"/>
        <v>12.61292673748693</v>
      </c>
      <c r="X134" s="51"/>
      <c r="Y134" s="52"/>
      <c r="Z134" s="53"/>
      <c r="AA134" s="40">
        <v>91</v>
      </c>
      <c r="AB134" s="43">
        <v>140</v>
      </c>
      <c r="AC134" s="54">
        <v>192.2</v>
      </c>
      <c r="AD134" s="55">
        <v>23</v>
      </c>
      <c r="AE134" s="49">
        <f t="shared" si="55"/>
        <v>149.58983956789774</v>
      </c>
      <c r="AF134" s="48">
        <f t="shared" si="30"/>
        <v>59.58983956789774</v>
      </c>
      <c r="AG134" s="48">
        <f t="shared" si="56"/>
        <v>12.61292673748693</v>
      </c>
      <c r="AH134" s="56"/>
      <c r="AI134" s="53"/>
    </row>
    <row r="135" spans="1:35" s="39" customFormat="1" ht="21">
      <c r="A135" s="81">
        <v>102.36</v>
      </c>
      <c r="B135" s="9" t="s">
        <v>44</v>
      </c>
      <c r="C135" s="43" t="s">
        <v>64</v>
      </c>
      <c r="D135" s="43">
        <v>3</v>
      </c>
      <c r="E135" s="40" t="s">
        <v>46</v>
      </c>
      <c r="F135" s="41">
        <v>5</v>
      </c>
      <c r="G135" s="42">
        <v>6</v>
      </c>
      <c r="H135" s="43"/>
      <c r="I135" s="44"/>
      <c r="J135" s="40">
        <v>90</v>
      </c>
      <c r="K135" s="45">
        <v>8</v>
      </c>
      <c r="L135" s="45">
        <v>0</v>
      </c>
      <c r="M135" s="45">
        <v>6</v>
      </c>
      <c r="N135" s="45"/>
      <c r="O135" s="46"/>
      <c r="P135" s="47">
        <f t="shared" si="49"/>
        <v>0.10351119944858336</v>
      </c>
      <c r="Q135" s="47">
        <f t="shared" si="50"/>
        <v>0.13841069615108434</v>
      </c>
      <c r="R135" s="47">
        <f t="shared" si="51"/>
        <v>-0.9848432766475461</v>
      </c>
      <c r="S135" s="48">
        <f t="shared" si="52"/>
        <v>53.208820891657375</v>
      </c>
      <c r="T135" s="48">
        <f t="shared" si="57"/>
        <v>-80.04621733697256</v>
      </c>
      <c r="U135" s="49">
        <f t="shared" si="53"/>
        <v>53.208820891657375</v>
      </c>
      <c r="V135" s="48">
        <f t="shared" si="22"/>
        <v>323.20882089165735</v>
      </c>
      <c r="W135" s="50">
        <f t="shared" si="54"/>
        <v>9.95378266302744</v>
      </c>
      <c r="X135" s="51"/>
      <c r="Y135" s="52"/>
      <c r="Z135" s="53"/>
      <c r="AA135" s="40">
        <v>0</v>
      </c>
      <c r="AB135" s="43">
        <v>30</v>
      </c>
      <c r="AC135" s="54">
        <v>186.2</v>
      </c>
      <c r="AD135" s="55">
        <v>7.3</v>
      </c>
      <c r="AE135" s="49">
        <f t="shared" si="55"/>
        <v>227.0088208916574</v>
      </c>
      <c r="AF135" s="48">
        <f t="shared" si="30"/>
        <v>137.0088208916574</v>
      </c>
      <c r="AG135" s="48">
        <f t="shared" si="56"/>
        <v>9.95378266302744</v>
      </c>
      <c r="AH135" s="56"/>
      <c r="AI135" s="53"/>
    </row>
    <row r="136" spans="1:35" s="39" customFormat="1" ht="12.75">
      <c r="A136" s="81">
        <v>103.22</v>
      </c>
      <c r="B136" s="9" t="s">
        <v>44</v>
      </c>
      <c r="C136" s="43" t="s">
        <v>64</v>
      </c>
      <c r="D136" s="43">
        <v>3</v>
      </c>
      <c r="E136" s="40" t="s">
        <v>46</v>
      </c>
      <c r="F136" s="41">
        <v>91</v>
      </c>
      <c r="G136" s="42">
        <v>91</v>
      </c>
      <c r="H136" s="43"/>
      <c r="I136" s="44"/>
      <c r="J136" s="40">
        <v>90</v>
      </c>
      <c r="K136" s="45">
        <v>3</v>
      </c>
      <c r="L136" s="45">
        <v>0</v>
      </c>
      <c r="M136" s="45">
        <v>6</v>
      </c>
      <c r="N136" s="45"/>
      <c r="O136" s="46"/>
      <c r="P136" s="47">
        <f t="shared" si="49"/>
        <v>0.10438521064158733</v>
      </c>
      <c r="Q136" s="47">
        <f t="shared" si="50"/>
        <v>0.0520492543986435</v>
      </c>
      <c r="R136" s="47">
        <f t="shared" si="51"/>
        <v>-0.9931589376748557</v>
      </c>
      <c r="S136" s="48">
        <f t="shared" si="52"/>
        <v>26.502069735981433</v>
      </c>
      <c r="T136" s="48">
        <f t="shared" si="57"/>
        <v>-83.30154702070026</v>
      </c>
      <c r="U136" s="49">
        <f t="shared" si="53"/>
        <v>26.502069735981433</v>
      </c>
      <c r="V136" s="48">
        <f t="shared" si="22"/>
        <v>296.5020697359814</v>
      </c>
      <c r="W136" s="50">
        <f t="shared" si="54"/>
        <v>6.698452979299745</v>
      </c>
      <c r="X136" s="51"/>
      <c r="Y136" s="52"/>
      <c r="Z136" s="53"/>
      <c r="AA136" s="40">
        <v>57</v>
      </c>
      <c r="AB136" s="43">
        <v>140</v>
      </c>
      <c r="AC136" s="54">
        <v>188</v>
      </c>
      <c r="AD136" s="55">
        <v>21.8</v>
      </c>
      <c r="AE136" s="49">
        <f t="shared" si="55"/>
        <v>198.50206973598142</v>
      </c>
      <c r="AF136" s="48">
        <f t="shared" si="30"/>
        <v>108.50206973598142</v>
      </c>
      <c r="AG136" s="48">
        <f t="shared" si="56"/>
        <v>6.698452979299745</v>
      </c>
      <c r="AH136" s="56"/>
      <c r="AI136" s="53"/>
    </row>
    <row r="137" spans="1:35" s="39" customFormat="1" ht="12.75">
      <c r="A137" s="81">
        <v>103.49</v>
      </c>
      <c r="B137" s="9" t="s">
        <v>44</v>
      </c>
      <c r="C137" s="43" t="s">
        <v>64</v>
      </c>
      <c r="D137" s="43">
        <v>3</v>
      </c>
      <c r="E137" s="40" t="s">
        <v>46</v>
      </c>
      <c r="F137" s="41">
        <v>118</v>
      </c>
      <c r="G137" s="42">
        <v>118</v>
      </c>
      <c r="H137" s="43"/>
      <c r="I137" s="44"/>
      <c r="J137" s="40">
        <v>90</v>
      </c>
      <c r="K137" s="45">
        <v>1</v>
      </c>
      <c r="L137" s="45">
        <v>180</v>
      </c>
      <c r="M137" s="45">
        <v>7</v>
      </c>
      <c r="N137" s="45"/>
      <c r="O137" s="46"/>
      <c r="P137" s="47">
        <f t="shared" si="49"/>
        <v>0.12185078211385945</v>
      </c>
      <c r="Q137" s="47">
        <f t="shared" si="50"/>
        <v>-0.01732231884620599</v>
      </c>
      <c r="R137" s="47">
        <f t="shared" si="51"/>
        <v>0.9923949820549218</v>
      </c>
      <c r="S137" s="48">
        <f t="shared" si="52"/>
        <v>351.909040562702</v>
      </c>
      <c r="T137" s="48">
        <f t="shared" si="57"/>
        <v>82.93032926402522</v>
      </c>
      <c r="U137" s="49">
        <f t="shared" si="53"/>
        <v>171.909040562702</v>
      </c>
      <c r="V137" s="48">
        <f t="shared" si="22"/>
        <v>81.90904056270199</v>
      </c>
      <c r="W137" s="50">
        <f t="shared" si="54"/>
        <v>7.069670735974782</v>
      </c>
      <c r="X137" s="51"/>
      <c r="Y137" s="52"/>
      <c r="Z137" s="53"/>
      <c r="AA137" s="40">
        <v>57</v>
      </c>
      <c r="AB137" s="43">
        <v>140</v>
      </c>
      <c r="AC137" s="54">
        <v>177.5</v>
      </c>
      <c r="AD137" s="55">
        <v>25.8</v>
      </c>
      <c r="AE137" s="49">
        <f t="shared" si="55"/>
        <v>354.409040562702</v>
      </c>
      <c r="AF137" s="48">
        <f t="shared" si="30"/>
        <v>264.409040562702</v>
      </c>
      <c r="AG137" s="48">
        <f t="shared" si="56"/>
        <v>7.069670735974782</v>
      </c>
      <c r="AH137" s="56"/>
      <c r="AI137" s="53"/>
    </row>
    <row r="138" spans="1:36" s="39" customFormat="1" ht="21">
      <c r="A138" s="81">
        <v>104.06</v>
      </c>
      <c r="B138" s="9" t="s">
        <v>44</v>
      </c>
      <c r="C138" s="43" t="s">
        <v>64</v>
      </c>
      <c r="D138" s="43">
        <v>4</v>
      </c>
      <c r="E138" s="40" t="s">
        <v>47</v>
      </c>
      <c r="F138" s="41">
        <v>34</v>
      </c>
      <c r="G138" s="42">
        <v>42</v>
      </c>
      <c r="H138" s="43"/>
      <c r="I138" s="44"/>
      <c r="J138" s="40">
        <v>90</v>
      </c>
      <c r="K138" s="45">
        <v>48</v>
      </c>
      <c r="L138" s="45">
        <v>2</v>
      </c>
      <c r="M138" s="45">
        <v>0</v>
      </c>
      <c r="N138" s="45"/>
      <c r="O138" s="46"/>
      <c r="P138" s="47">
        <f t="shared" si="49"/>
        <v>-0.025935380386228973</v>
      </c>
      <c r="Q138" s="47">
        <f t="shared" si="50"/>
        <v>0.7426921217288145</v>
      </c>
      <c r="R138" s="47">
        <f t="shared" si="51"/>
        <v>-0.6687229900727685</v>
      </c>
      <c r="S138" s="48">
        <f t="shared" si="52"/>
        <v>92.00000000000001</v>
      </c>
      <c r="T138" s="48">
        <f t="shared" si="57"/>
        <v>-41.98263934629345</v>
      </c>
      <c r="U138" s="49">
        <f t="shared" si="53"/>
        <v>92.00000000000001</v>
      </c>
      <c r="V138" s="48">
        <f t="shared" si="22"/>
        <v>2.000000000000014</v>
      </c>
      <c r="W138" s="50">
        <f t="shared" si="54"/>
        <v>48.01736065370655</v>
      </c>
      <c r="X138" s="51"/>
      <c r="Y138" s="52"/>
      <c r="Z138" s="53" t="s">
        <v>65</v>
      </c>
      <c r="AA138" s="40">
        <v>31</v>
      </c>
      <c r="AB138" s="43">
        <v>59</v>
      </c>
      <c r="AC138" s="54">
        <v>181.6</v>
      </c>
      <c r="AD138" s="55">
        <v>-24.7</v>
      </c>
      <c r="AE138" s="49">
        <f t="shared" si="55"/>
        <v>90.40000000000002</v>
      </c>
      <c r="AF138" s="48">
        <f t="shared" si="30"/>
        <v>0.4000000000000199</v>
      </c>
      <c r="AG138" s="48">
        <f t="shared" si="56"/>
        <v>48.01736065370655</v>
      </c>
      <c r="AH138" s="56"/>
      <c r="AI138" s="53" t="str">
        <f>Z138</f>
        <v>R</v>
      </c>
      <c r="AJ138" s="39" t="s">
        <v>66</v>
      </c>
    </row>
    <row r="139" spans="1:35" s="39" customFormat="1" ht="12.75">
      <c r="A139" s="81">
        <v>104.26</v>
      </c>
      <c r="B139" s="9" t="s">
        <v>44</v>
      </c>
      <c r="C139" s="43" t="s">
        <v>64</v>
      </c>
      <c r="D139" s="43">
        <v>4</v>
      </c>
      <c r="E139" s="40" t="s">
        <v>46</v>
      </c>
      <c r="F139" s="41">
        <v>54</v>
      </c>
      <c r="G139" s="42">
        <v>54</v>
      </c>
      <c r="H139" s="43"/>
      <c r="I139" s="44"/>
      <c r="J139" s="40">
        <v>90</v>
      </c>
      <c r="K139" s="45">
        <v>5</v>
      </c>
      <c r="L139" s="45">
        <v>180</v>
      </c>
      <c r="M139" s="45">
        <v>1</v>
      </c>
      <c r="N139" s="45"/>
      <c r="O139" s="46"/>
      <c r="P139" s="47">
        <f t="shared" si="49"/>
        <v>0.017385994761764074</v>
      </c>
      <c r="Q139" s="47">
        <f t="shared" si="50"/>
        <v>-0.08714246850588939</v>
      </c>
      <c r="R139" s="47">
        <f t="shared" si="51"/>
        <v>0.9960429728140489</v>
      </c>
      <c r="S139" s="48">
        <f t="shared" si="52"/>
        <v>281.28306182052995</v>
      </c>
      <c r="T139" s="48">
        <f t="shared" si="57"/>
        <v>84.90197245232007</v>
      </c>
      <c r="U139" s="49">
        <f t="shared" si="53"/>
        <v>101.28306182052995</v>
      </c>
      <c r="V139" s="48">
        <f t="shared" si="22"/>
        <v>11.283061820529952</v>
      </c>
      <c r="W139" s="50">
        <f t="shared" si="54"/>
        <v>5.0980275476799335</v>
      </c>
      <c r="X139" s="51"/>
      <c r="Y139" s="52"/>
      <c r="Z139" s="53"/>
      <c r="AA139" s="40">
        <v>31</v>
      </c>
      <c r="AB139" s="43">
        <v>59</v>
      </c>
      <c r="AC139" s="54">
        <v>193.4</v>
      </c>
      <c r="AD139" s="55">
        <v>-26.1</v>
      </c>
      <c r="AE139" s="49">
        <f t="shared" si="55"/>
        <v>87.88306182052995</v>
      </c>
      <c r="AF139" s="48">
        <f t="shared" si="30"/>
        <v>357.88306182053</v>
      </c>
      <c r="AG139" s="48">
        <f t="shared" si="56"/>
        <v>5.0980275476799335</v>
      </c>
      <c r="AH139" s="56"/>
      <c r="AI139" s="53"/>
    </row>
    <row r="140" spans="1:35" s="39" customFormat="1" ht="21">
      <c r="A140" s="81">
        <v>104.72</v>
      </c>
      <c r="B140" s="9" t="s">
        <v>44</v>
      </c>
      <c r="C140" s="43" t="s">
        <v>64</v>
      </c>
      <c r="D140" s="43">
        <v>4</v>
      </c>
      <c r="E140" s="40" t="s">
        <v>46</v>
      </c>
      <c r="F140" s="41">
        <v>100</v>
      </c>
      <c r="G140" s="42">
        <v>101</v>
      </c>
      <c r="H140" s="43"/>
      <c r="I140" s="44"/>
      <c r="J140" s="40">
        <v>90</v>
      </c>
      <c r="K140" s="45">
        <v>3</v>
      </c>
      <c r="L140" s="45">
        <v>180</v>
      </c>
      <c r="M140" s="45">
        <v>3</v>
      </c>
      <c r="N140" s="45"/>
      <c r="O140" s="46"/>
      <c r="P140" s="47">
        <f t="shared" si="49"/>
        <v>0.05226423163382672</v>
      </c>
      <c r="Q140" s="47">
        <f t="shared" si="50"/>
        <v>-0.05226423163382673</v>
      </c>
      <c r="R140" s="47">
        <f t="shared" si="51"/>
        <v>0.9972609476841365</v>
      </c>
      <c r="S140" s="48">
        <f t="shared" si="52"/>
        <v>315</v>
      </c>
      <c r="T140" s="48">
        <f t="shared" si="57"/>
        <v>85.76122797743554</v>
      </c>
      <c r="U140" s="49">
        <f t="shared" si="53"/>
        <v>135</v>
      </c>
      <c r="V140" s="48">
        <f t="shared" si="22"/>
        <v>45</v>
      </c>
      <c r="W140" s="50">
        <f t="shared" si="54"/>
        <v>4.238772022564461</v>
      </c>
      <c r="X140" s="51"/>
      <c r="Y140" s="52"/>
      <c r="Z140" s="53"/>
      <c r="AA140" s="40">
        <v>86</v>
      </c>
      <c r="AB140" s="43">
        <v>114</v>
      </c>
      <c r="AC140" s="54">
        <v>200</v>
      </c>
      <c r="AD140" s="55">
        <v>-18.7</v>
      </c>
      <c r="AE140" s="49">
        <f t="shared" si="55"/>
        <v>115</v>
      </c>
      <c r="AF140" s="48">
        <f t="shared" si="30"/>
        <v>25</v>
      </c>
      <c r="AG140" s="48">
        <f t="shared" si="56"/>
        <v>4.238772022564461</v>
      </c>
      <c r="AH140" s="56"/>
      <c r="AI140" s="53"/>
    </row>
    <row r="141" spans="1:35" s="39" customFormat="1" ht="21">
      <c r="A141" s="81">
        <v>105.43</v>
      </c>
      <c r="B141" s="9" t="s">
        <v>44</v>
      </c>
      <c r="C141" s="43" t="s">
        <v>64</v>
      </c>
      <c r="D141" s="43">
        <v>6</v>
      </c>
      <c r="E141" s="40" t="s">
        <v>46</v>
      </c>
      <c r="F141" s="41">
        <v>24</v>
      </c>
      <c r="G141" s="42">
        <v>25</v>
      </c>
      <c r="H141" s="43"/>
      <c r="I141" s="44"/>
      <c r="J141" s="40">
        <v>90</v>
      </c>
      <c r="K141" s="45">
        <v>10</v>
      </c>
      <c r="L141" s="45">
        <v>180</v>
      </c>
      <c r="M141" s="45">
        <v>8</v>
      </c>
      <c r="N141" s="45"/>
      <c r="O141" s="46"/>
      <c r="P141" s="47">
        <f t="shared" si="49"/>
        <v>0.13705874883622318</v>
      </c>
      <c r="Q141" s="47">
        <f t="shared" si="50"/>
        <v>-0.17195824553872419</v>
      </c>
      <c r="R141" s="47">
        <f t="shared" si="51"/>
        <v>0.9752236716571246</v>
      </c>
      <c r="S141" s="48">
        <f t="shared" si="52"/>
        <v>308.5564810155944</v>
      </c>
      <c r="T141" s="48">
        <f t="shared" si="57"/>
        <v>77.29323689420146</v>
      </c>
      <c r="U141" s="49">
        <f t="shared" si="53"/>
        <v>128.5564810155944</v>
      </c>
      <c r="V141" s="48">
        <f t="shared" si="22"/>
        <v>38.556481015594386</v>
      </c>
      <c r="W141" s="50">
        <f t="shared" si="54"/>
        <v>12.706763105798544</v>
      </c>
      <c r="X141" s="51"/>
      <c r="Y141" s="52"/>
      <c r="Z141" s="53"/>
      <c r="AA141" s="40">
        <v>0</v>
      </c>
      <c r="AB141" s="43">
        <v>52</v>
      </c>
      <c r="AC141" s="54">
        <v>186.9</v>
      </c>
      <c r="AD141" s="55">
        <v>-1.6</v>
      </c>
      <c r="AE141" s="49">
        <f t="shared" si="55"/>
        <v>121.65648101559438</v>
      </c>
      <c r="AF141" s="48">
        <f t="shared" si="30"/>
        <v>31.65648101559438</v>
      </c>
      <c r="AG141" s="48">
        <f t="shared" si="56"/>
        <v>12.706763105798544</v>
      </c>
      <c r="AH141" s="56"/>
      <c r="AI141" s="53"/>
    </row>
    <row r="142" spans="1:36" s="39" customFormat="1" ht="12.75">
      <c r="A142" s="81">
        <v>105.81</v>
      </c>
      <c r="B142" s="9" t="s">
        <v>44</v>
      </c>
      <c r="C142" s="43" t="s">
        <v>64</v>
      </c>
      <c r="D142" s="43">
        <v>6</v>
      </c>
      <c r="E142" s="40" t="s">
        <v>47</v>
      </c>
      <c r="F142" s="41">
        <v>62</v>
      </c>
      <c r="G142" s="42">
        <v>81</v>
      </c>
      <c r="H142" s="43"/>
      <c r="I142" s="44"/>
      <c r="J142" s="40">
        <v>90</v>
      </c>
      <c r="K142" s="45">
        <v>73</v>
      </c>
      <c r="L142" s="45">
        <v>22</v>
      </c>
      <c r="M142" s="45">
        <v>0</v>
      </c>
      <c r="N142" s="45"/>
      <c r="O142" s="46"/>
      <c r="P142" s="47">
        <f t="shared" si="49"/>
        <v>-0.35823806689874776</v>
      </c>
      <c r="Q142" s="47">
        <f t="shared" si="50"/>
        <v>0.8866703297743582</v>
      </c>
      <c r="R142" s="47">
        <f t="shared" si="51"/>
        <v>-0.2710823241510897</v>
      </c>
      <c r="S142" s="48">
        <f t="shared" si="52"/>
        <v>112</v>
      </c>
      <c r="T142" s="48">
        <f t="shared" si="57"/>
        <v>-15.826365405393334</v>
      </c>
      <c r="U142" s="49">
        <f t="shared" si="53"/>
        <v>112</v>
      </c>
      <c r="V142" s="48">
        <f t="shared" si="22"/>
        <v>22</v>
      </c>
      <c r="W142" s="50">
        <f t="shared" si="54"/>
        <v>74.17363459460667</v>
      </c>
      <c r="X142" s="51"/>
      <c r="Y142" s="52"/>
      <c r="Z142" s="53" t="s">
        <v>48</v>
      </c>
      <c r="AA142" s="40">
        <v>54</v>
      </c>
      <c r="AB142" s="43">
        <v>88</v>
      </c>
      <c r="AC142" s="54">
        <v>194.4</v>
      </c>
      <c r="AD142" s="55">
        <v>-65.7</v>
      </c>
      <c r="AE142" s="49">
        <f t="shared" si="55"/>
        <v>97.6</v>
      </c>
      <c r="AF142" s="48">
        <f t="shared" si="30"/>
        <v>7.599999999999994</v>
      </c>
      <c r="AG142" s="48">
        <f t="shared" si="56"/>
        <v>74.17363459460667</v>
      </c>
      <c r="AH142" s="56"/>
      <c r="AI142" s="53" t="str">
        <f>Z142</f>
        <v>N</v>
      </c>
      <c r="AJ142" s="39" t="s">
        <v>67</v>
      </c>
    </row>
    <row r="143" spans="1:35" s="39" customFormat="1" ht="12.75">
      <c r="A143" s="81">
        <v>111.565</v>
      </c>
      <c r="B143" s="43" t="s">
        <v>44</v>
      </c>
      <c r="C143" s="43" t="s">
        <v>68</v>
      </c>
      <c r="D143" s="43">
        <v>2</v>
      </c>
      <c r="E143" s="40" t="s">
        <v>46</v>
      </c>
      <c r="F143" s="41">
        <v>65</v>
      </c>
      <c r="G143" s="42">
        <v>67</v>
      </c>
      <c r="H143" s="43"/>
      <c r="I143" s="44"/>
      <c r="J143" s="40">
        <v>270</v>
      </c>
      <c r="K143" s="45">
        <v>17</v>
      </c>
      <c r="L143" s="45">
        <v>0</v>
      </c>
      <c r="M143" s="45">
        <v>4</v>
      </c>
      <c r="N143" s="45"/>
      <c r="O143" s="46"/>
      <c r="P143" s="47">
        <f t="shared" si="49"/>
        <v>-0.06670844760071763</v>
      </c>
      <c r="Q143" s="47">
        <f t="shared" si="50"/>
        <v>0.2916595019445827</v>
      </c>
      <c r="R143" s="47">
        <f t="shared" si="51"/>
        <v>0.9539752456412184</v>
      </c>
      <c r="S143" s="48">
        <f t="shared" si="52"/>
        <v>102.88310727389461</v>
      </c>
      <c r="T143" s="48">
        <f t="shared" si="57"/>
        <v>72.5872405063514</v>
      </c>
      <c r="U143" s="49">
        <f t="shared" si="53"/>
        <v>282.8831072738946</v>
      </c>
      <c r="V143" s="48">
        <f t="shared" si="22"/>
        <v>192.8831072738946</v>
      </c>
      <c r="W143" s="50">
        <f t="shared" si="54"/>
        <v>17.412759493648593</v>
      </c>
      <c r="X143" s="51"/>
      <c r="Y143" s="52"/>
      <c r="Z143" s="53"/>
      <c r="AA143" s="40">
        <v>51</v>
      </c>
      <c r="AB143" s="43">
        <v>140</v>
      </c>
      <c r="AC143" s="54"/>
      <c r="AD143" s="55"/>
      <c r="AE143" s="49">
        <f t="shared" si="55"/>
        <v>282.8831072738946</v>
      </c>
      <c r="AF143" s="48">
        <f t="shared" si="30"/>
        <v>192.8831072738946</v>
      </c>
      <c r="AG143" s="48">
        <f t="shared" si="56"/>
        <v>17.412759493648593</v>
      </c>
      <c r="AH143" s="56"/>
      <c r="AI143" s="53"/>
    </row>
    <row r="144" spans="1:35" s="39" customFormat="1" ht="12.75">
      <c r="A144" s="81">
        <v>113.415</v>
      </c>
      <c r="B144" s="43" t="s">
        <v>44</v>
      </c>
      <c r="C144" s="43" t="s">
        <v>68</v>
      </c>
      <c r="D144" s="43">
        <v>3</v>
      </c>
      <c r="E144" s="40" t="s">
        <v>46</v>
      </c>
      <c r="F144" s="41">
        <v>109</v>
      </c>
      <c r="G144" s="42">
        <v>110</v>
      </c>
      <c r="H144" s="43"/>
      <c r="I144" s="44"/>
      <c r="J144" s="40">
        <v>90</v>
      </c>
      <c r="K144" s="45">
        <v>11</v>
      </c>
      <c r="L144" s="45">
        <v>0</v>
      </c>
      <c r="M144" s="45">
        <v>10</v>
      </c>
      <c r="N144" s="45"/>
      <c r="O144" s="46"/>
      <c r="P144" s="47">
        <f t="shared" si="49"/>
        <v>0.17045777155400837</v>
      </c>
      <c r="Q144" s="47">
        <f t="shared" si="50"/>
        <v>0.18791017799129187</v>
      </c>
      <c r="R144" s="47">
        <f t="shared" si="51"/>
        <v>-0.9667140608267965</v>
      </c>
      <c r="S144" s="48">
        <f t="shared" si="52"/>
        <v>47.78808370692235</v>
      </c>
      <c r="T144" s="48">
        <f t="shared" si="57"/>
        <v>-75.2948964423236</v>
      </c>
      <c r="U144" s="49">
        <f t="shared" si="53"/>
        <v>47.78808370692235</v>
      </c>
      <c r="V144" s="48">
        <f t="shared" si="22"/>
        <v>317.78808370692235</v>
      </c>
      <c r="W144" s="50">
        <f t="shared" si="54"/>
        <v>14.705103557676395</v>
      </c>
      <c r="X144" s="51"/>
      <c r="Y144" s="52"/>
      <c r="Z144" s="53"/>
      <c r="AA144" s="40">
        <v>51</v>
      </c>
      <c r="AB144" s="43">
        <v>132</v>
      </c>
      <c r="AC144" s="54">
        <v>120.7</v>
      </c>
      <c r="AD144" s="55">
        <v>-20.9</v>
      </c>
      <c r="AE144" s="49">
        <f t="shared" si="55"/>
        <v>107.08808370692235</v>
      </c>
      <c r="AF144" s="48">
        <f t="shared" si="30"/>
        <v>17.088083706922347</v>
      </c>
      <c r="AG144" s="48">
        <f t="shared" si="56"/>
        <v>14.705103557676395</v>
      </c>
      <c r="AH144" s="56"/>
      <c r="AI144" s="53"/>
    </row>
    <row r="145" spans="1:35" s="39" customFormat="1" ht="12.75">
      <c r="A145" s="81">
        <v>113.79</v>
      </c>
      <c r="B145" s="43" t="s">
        <v>44</v>
      </c>
      <c r="C145" s="43" t="s">
        <v>68</v>
      </c>
      <c r="D145" s="43">
        <v>4</v>
      </c>
      <c r="E145" s="40" t="s">
        <v>46</v>
      </c>
      <c r="F145" s="41">
        <v>5</v>
      </c>
      <c r="G145" s="42">
        <v>5</v>
      </c>
      <c r="H145" s="43"/>
      <c r="I145" s="44"/>
      <c r="J145" s="40">
        <v>90</v>
      </c>
      <c r="K145" s="45">
        <v>4</v>
      </c>
      <c r="L145" s="45">
        <v>180</v>
      </c>
      <c r="M145" s="45">
        <v>1</v>
      </c>
      <c r="N145" s="45"/>
      <c r="O145" s="46"/>
      <c r="P145" s="47">
        <f t="shared" si="49"/>
        <v>0.017409893252357162</v>
      </c>
      <c r="Q145" s="47">
        <f t="shared" si="50"/>
        <v>-0.06974584949530101</v>
      </c>
      <c r="R145" s="47">
        <f t="shared" si="51"/>
        <v>0.9974121164231596</v>
      </c>
      <c r="S145" s="48">
        <f t="shared" si="52"/>
        <v>284.01569916405356</v>
      </c>
      <c r="T145" s="48">
        <f t="shared" si="57"/>
        <v>85.87768053918502</v>
      </c>
      <c r="U145" s="49">
        <f t="shared" si="53"/>
        <v>104.01569916405356</v>
      </c>
      <c r="V145" s="48">
        <f t="shared" si="22"/>
        <v>14.015699164053558</v>
      </c>
      <c r="W145" s="50">
        <f t="shared" si="54"/>
        <v>4.122319460814978</v>
      </c>
      <c r="X145" s="51"/>
      <c r="Y145" s="52"/>
      <c r="Z145" s="53"/>
      <c r="AA145" s="40">
        <v>0</v>
      </c>
      <c r="AB145" s="43">
        <v>92</v>
      </c>
      <c r="AC145" s="54">
        <v>123.7</v>
      </c>
      <c r="AD145" s="55">
        <v>-21</v>
      </c>
      <c r="AE145" s="49">
        <f t="shared" si="55"/>
        <v>160.31569916405357</v>
      </c>
      <c r="AF145" s="48">
        <f t="shared" si="30"/>
        <v>70.31569916405357</v>
      </c>
      <c r="AG145" s="48">
        <f t="shared" si="56"/>
        <v>4.122319460814978</v>
      </c>
      <c r="AH145" s="56"/>
      <c r="AI145" s="53"/>
    </row>
    <row r="146" spans="1:35" s="39" customFormat="1" ht="12.75">
      <c r="A146" s="81">
        <v>114.17</v>
      </c>
      <c r="B146" s="43" t="s">
        <v>44</v>
      </c>
      <c r="C146" s="43" t="s">
        <v>68</v>
      </c>
      <c r="D146" s="43">
        <v>4</v>
      </c>
      <c r="E146" s="40" t="s">
        <v>46</v>
      </c>
      <c r="F146" s="41">
        <v>43</v>
      </c>
      <c r="G146" s="42">
        <v>44</v>
      </c>
      <c r="H146" s="43"/>
      <c r="I146" s="44"/>
      <c r="J146" s="40">
        <v>90</v>
      </c>
      <c r="K146" s="45">
        <v>3</v>
      </c>
      <c r="L146" s="45">
        <v>0</v>
      </c>
      <c r="M146" s="45">
        <v>1</v>
      </c>
      <c r="N146" s="45"/>
      <c r="O146" s="46"/>
      <c r="P146" s="47">
        <f t="shared" si="49"/>
        <v>0.017428488520812163</v>
      </c>
      <c r="Q146" s="47">
        <f t="shared" si="50"/>
        <v>0.05232798522331313</v>
      </c>
      <c r="R146" s="47">
        <f t="shared" si="51"/>
        <v>-0.9984774386394599</v>
      </c>
      <c r="S146" s="48">
        <f t="shared" si="52"/>
        <v>71.57901920027497</v>
      </c>
      <c r="T146" s="48">
        <f t="shared" si="57"/>
        <v>-86.83829951329471</v>
      </c>
      <c r="U146" s="49">
        <f t="shared" si="53"/>
        <v>71.57901920027497</v>
      </c>
      <c r="V146" s="48">
        <f t="shared" si="22"/>
        <v>341.57901920027496</v>
      </c>
      <c r="W146" s="50">
        <f t="shared" si="54"/>
        <v>3.1617004867052856</v>
      </c>
      <c r="X146" s="51"/>
      <c r="Y146" s="52"/>
      <c r="Z146" s="53"/>
      <c r="AA146" s="40">
        <v>0</v>
      </c>
      <c r="AB146" s="43">
        <v>92</v>
      </c>
      <c r="AC146" s="54">
        <v>131.8</v>
      </c>
      <c r="AD146" s="55">
        <v>-21.7</v>
      </c>
      <c r="AE146" s="49">
        <f t="shared" si="55"/>
        <v>119.77901920027496</v>
      </c>
      <c r="AF146" s="48">
        <f t="shared" si="30"/>
        <v>29.77901920027496</v>
      </c>
      <c r="AG146" s="48">
        <f t="shared" si="56"/>
        <v>3.1617004867052856</v>
      </c>
      <c r="AH146" s="56"/>
      <c r="AI146" s="53"/>
    </row>
    <row r="147" spans="1:35" s="39" customFormat="1" ht="12.75">
      <c r="A147" s="81">
        <v>114.55</v>
      </c>
      <c r="B147" s="43" t="s">
        <v>44</v>
      </c>
      <c r="C147" s="43" t="s">
        <v>68</v>
      </c>
      <c r="D147" s="43">
        <v>4</v>
      </c>
      <c r="E147" s="40" t="s">
        <v>46</v>
      </c>
      <c r="F147" s="41">
        <v>81</v>
      </c>
      <c r="G147" s="42">
        <v>82</v>
      </c>
      <c r="H147" s="43"/>
      <c r="I147" s="44"/>
      <c r="J147" s="40">
        <v>90</v>
      </c>
      <c r="K147" s="45">
        <v>6</v>
      </c>
      <c r="L147" s="45">
        <v>0</v>
      </c>
      <c r="M147" s="45">
        <v>2</v>
      </c>
      <c r="N147" s="45"/>
      <c r="O147" s="46"/>
      <c r="P147" s="47">
        <f t="shared" si="49"/>
        <v>0.03470831360797007</v>
      </c>
      <c r="Q147" s="47">
        <f t="shared" si="50"/>
        <v>0.10446478735209536</v>
      </c>
      <c r="R147" s="47">
        <f t="shared" si="51"/>
        <v>-0.9939160595006973</v>
      </c>
      <c r="S147" s="48">
        <f t="shared" si="52"/>
        <v>71.62098802250347</v>
      </c>
      <c r="T147" s="48">
        <f t="shared" si="57"/>
        <v>-83.68004299396074</v>
      </c>
      <c r="U147" s="49">
        <f t="shared" si="53"/>
        <v>71.62098802250347</v>
      </c>
      <c r="V147" s="48">
        <f t="shared" si="22"/>
        <v>341.62098802250347</v>
      </c>
      <c r="W147" s="50">
        <f t="shared" si="54"/>
        <v>6.31995700603926</v>
      </c>
      <c r="X147" s="51"/>
      <c r="Y147" s="52"/>
      <c r="Z147" s="53"/>
      <c r="AA147" s="40">
        <v>0</v>
      </c>
      <c r="AB147" s="43">
        <v>92</v>
      </c>
      <c r="AC147" s="54">
        <v>114.6</v>
      </c>
      <c r="AD147" s="55">
        <v>-16</v>
      </c>
      <c r="AE147" s="49">
        <f t="shared" si="55"/>
        <v>137.02098802250347</v>
      </c>
      <c r="AF147" s="48">
        <f t="shared" si="30"/>
        <v>47.020988022503474</v>
      </c>
      <c r="AG147" s="48">
        <f t="shared" si="56"/>
        <v>6.31995700603926</v>
      </c>
      <c r="AH147" s="56"/>
      <c r="AI147" s="53"/>
    </row>
    <row r="148" spans="1:35" s="39" customFormat="1" ht="12.75">
      <c r="A148" s="81">
        <v>128.045</v>
      </c>
      <c r="B148" s="43" t="s">
        <v>44</v>
      </c>
      <c r="C148" s="43" t="s">
        <v>69</v>
      </c>
      <c r="D148" s="43">
        <v>2</v>
      </c>
      <c r="E148" s="40" t="s">
        <v>46</v>
      </c>
      <c r="F148" s="41">
        <v>15</v>
      </c>
      <c r="G148" s="42">
        <v>16</v>
      </c>
      <c r="H148" s="43"/>
      <c r="I148" s="44"/>
      <c r="J148" s="40">
        <v>270</v>
      </c>
      <c r="K148" s="45">
        <v>4</v>
      </c>
      <c r="L148" s="45">
        <v>0</v>
      </c>
      <c r="M148" s="45">
        <v>8</v>
      </c>
      <c r="N148" s="45"/>
      <c r="O148" s="46"/>
      <c r="P148" s="47">
        <f t="shared" si="49"/>
        <v>-0.1388340822809423</v>
      </c>
      <c r="Q148" s="47">
        <f t="shared" si="50"/>
        <v>0.06907760853681705</v>
      </c>
      <c r="R148" s="47">
        <f t="shared" si="51"/>
        <v>0.9878558254968149</v>
      </c>
      <c r="S148" s="48">
        <f t="shared" si="52"/>
        <v>153.54712340314143</v>
      </c>
      <c r="T148" s="48">
        <f t="shared" si="57"/>
        <v>81.07873627708041</v>
      </c>
      <c r="U148" s="49">
        <f t="shared" si="53"/>
        <v>333.5471234031414</v>
      </c>
      <c r="V148" s="48">
        <f t="shared" si="22"/>
        <v>243.54712340314143</v>
      </c>
      <c r="W148" s="50">
        <f t="shared" si="54"/>
        <v>8.92126372291959</v>
      </c>
      <c r="X148" s="51"/>
      <c r="Y148" s="52"/>
      <c r="Z148" s="53"/>
      <c r="AA148" s="40">
        <v>0</v>
      </c>
      <c r="AB148" s="43">
        <v>62</v>
      </c>
      <c r="AC148" s="54">
        <v>76.5</v>
      </c>
      <c r="AD148" s="55">
        <v>-0.7</v>
      </c>
      <c r="AE148" s="49">
        <f t="shared" si="55"/>
        <v>77.04712340314143</v>
      </c>
      <c r="AF148" s="48">
        <f t="shared" si="30"/>
        <v>347.0471234031414</v>
      </c>
      <c r="AG148" s="48">
        <f t="shared" si="56"/>
        <v>8.92126372291959</v>
      </c>
      <c r="AH148" s="56"/>
      <c r="AI148" s="53"/>
    </row>
    <row r="149" spans="1:36" s="39" customFormat="1" ht="12.75">
      <c r="A149" s="81">
        <v>128.67</v>
      </c>
      <c r="B149" s="43" t="s">
        <v>44</v>
      </c>
      <c r="C149" s="43" t="s">
        <v>69</v>
      </c>
      <c r="D149" s="43">
        <v>3</v>
      </c>
      <c r="E149" s="40" t="s">
        <v>47</v>
      </c>
      <c r="F149" s="41">
        <v>15</v>
      </c>
      <c r="G149" s="42">
        <v>28</v>
      </c>
      <c r="H149" s="43"/>
      <c r="I149" s="44"/>
      <c r="J149" s="40">
        <v>90</v>
      </c>
      <c r="K149" s="45">
        <v>68</v>
      </c>
      <c r="L149" s="45">
        <v>196</v>
      </c>
      <c r="M149" s="45">
        <v>0</v>
      </c>
      <c r="N149" s="45"/>
      <c r="O149" s="46"/>
      <c r="P149" s="47">
        <f t="shared" si="49"/>
        <v>0.2555665060290022</v>
      </c>
      <c r="Q149" s="47">
        <f t="shared" si="50"/>
        <v>-0.8912663244874977</v>
      </c>
      <c r="R149" s="47">
        <f t="shared" si="51"/>
        <v>0.3600949692966558</v>
      </c>
      <c r="S149" s="48">
        <f t="shared" si="52"/>
        <v>286</v>
      </c>
      <c r="T149" s="48">
        <f t="shared" si="57"/>
        <v>21.22492210468543</v>
      </c>
      <c r="U149" s="49">
        <f t="shared" si="53"/>
        <v>106</v>
      </c>
      <c r="V149" s="48">
        <f t="shared" si="22"/>
        <v>16</v>
      </c>
      <c r="W149" s="50">
        <f t="shared" si="54"/>
        <v>68.77507789531457</v>
      </c>
      <c r="X149" s="51"/>
      <c r="Y149" s="52"/>
      <c r="Z149" s="53" t="s">
        <v>48</v>
      </c>
      <c r="AA149" s="40">
        <v>0</v>
      </c>
      <c r="AB149" s="43">
        <v>29</v>
      </c>
      <c r="AC149" s="54"/>
      <c r="AD149" s="55"/>
      <c r="AE149" s="49">
        <f t="shared" si="55"/>
        <v>106</v>
      </c>
      <c r="AF149" s="48">
        <f t="shared" si="30"/>
        <v>16</v>
      </c>
      <c r="AG149" s="48">
        <f t="shared" si="56"/>
        <v>68.77507789531457</v>
      </c>
      <c r="AH149" s="56"/>
      <c r="AI149" s="53" t="str">
        <f>Z149</f>
        <v>N</v>
      </c>
      <c r="AJ149" s="39" t="s">
        <v>70</v>
      </c>
    </row>
    <row r="150" spans="1:35" s="39" customFormat="1" ht="21">
      <c r="A150" s="81">
        <v>129.19</v>
      </c>
      <c r="B150" s="43" t="s">
        <v>44</v>
      </c>
      <c r="C150" s="43" t="s">
        <v>69</v>
      </c>
      <c r="D150" s="43">
        <v>5</v>
      </c>
      <c r="E150" s="40" t="s">
        <v>46</v>
      </c>
      <c r="F150" s="41">
        <v>9</v>
      </c>
      <c r="G150" s="42">
        <v>9</v>
      </c>
      <c r="H150" s="43"/>
      <c r="I150" s="44"/>
      <c r="J150" s="40">
        <v>90</v>
      </c>
      <c r="K150" s="45">
        <v>0</v>
      </c>
      <c r="L150" s="45">
        <v>0</v>
      </c>
      <c r="M150" s="45">
        <v>0</v>
      </c>
      <c r="N150" s="45"/>
      <c r="O150" s="46"/>
      <c r="P150" s="47">
        <f t="shared" si="49"/>
        <v>0</v>
      </c>
      <c r="Q150" s="47">
        <f t="shared" si="50"/>
        <v>0</v>
      </c>
      <c r="R150" s="47">
        <f t="shared" si="51"/>
        <v>-1</v>
      </c>
      <c r="S150" s="48">
        <f t="shared" si="52"/>
        <v>90</v>
      </c>
      <c r="T150" s="48">
        <f t="shared" si="57"/>
        <v>-90</v>
      </c>
      <c r="U150" s="49">
        <f t="shared" si="53"/>
        <v>90</v>
      </c>
      <c r="V150" s="48">
        <f t="shared" si="22"/>
        <v>0</v>
      </c>
      <c r="W150" s="50">
        <f t="shared" si="54"/>
        <v>0</v>
      </c>
      <c r="X150" s="51"/>
      <c r="Y150" s="52"/>
      <c r="Z150" s="53"/>
      <c r="AA150" s="40">
        <v>0</v>
      </c>
      <c r="AB150" s="43">
        <v>24</v>
      </c>
      <c r="AC150" s="54"/>
      <c r="AD150" s="55"/>
      <c r="AE150" s="49">
        <f t="shared" si="55"/>
        <v>90</v>
      </c>
      <c r="AF150" s="48">
        <f t="shared" si="30"/>
        <v>0</v>
      </c>
      <c r="AG150" s="48">
        <f t="shared" si="56"/>
        <v>0</v>
      </c>
      <c r="AH150" s="56"/>
      <c r="AI150" s="53"/>
    </row>
    <row r="151" spans="1:35" s="39" customFormat="1" ht="12.75">
      <c r="A151" s="81">
        <v>129.835</v>
      </c>
      <c r="B151" s="43" t="s">
        <v>44</v>
      </c>
      <c r="C151" s="43" t="s">
        <v>69</v>
      </c>
      <c r="D151" s="43" t="s">
        <v>52</v>
      </c>
      <c r="E151" s="40" t="s">
        <v>46</v>
      </c>
      <c r="F151" s="41">
        <v>18</v>
      </c>
      <c r="G151" s="42">
        <v>19</v>
      </c>
      <c r="H151" s="43"/>
      <c r="I151" s="44"/>
      <c r="J151" s="40">
        <v>90</v>
      </c>
      <c r="K151" s="45">
        <v>11</v>
      </c>
      <c r="L151" s="45">
        <v>180</v>
      </c>
      <c r="M151" s="45">
        <v>10</v>
      </c>
      <c r="N151" s="45"/>
      <c r="O151" s="46"/>
      <c r="P151" s="47">
        <f t="shared" si="49"/>
        <v>0.17045777155400835</v>
      </c>
      <c r="Q151" s="47">
        <f t="shared" si="50"/>
        <v>-0.18791017799129187</v>
      </c>
      <c r="R151" s="47">
        <f t="shared" si="51"/>
        <v>0.9667140608267965</v>
      </c>
      <c r="S151" s="48">
        <f t="shared" si="52"/>
        <v>312.21191629307765</v>
      </c>
      <c r="T151" s="48">
        <f t="shared" si="57"/>
        <v>75.29489644232363</v>
      </c>
      <c r="U151" s="49">
        <f t="shared" si="53"/>
        <v>132.21191629307765</v>
      </c>
      <c r="V151" s="48">
        <f t="shared" si="22"/>
        <v>42.21191629307765</v>
      </c>
      <c r="W151" s="50">
        <f t="shared" si="54"/>
        <v>14.705103557676367</v>
      </c>
      <c r="X151" s="51"/>
      <c r="Y151" s="52"/>
      <c r="Z151" s="53"/>
      <c r="AA151" s="40">
        <v>5</v>
      </c>
      <c r="AB151" s="43">
        <v>37</v>
      </c>
      <c r="AC151" s="54"/>
      <c r="AD151" s="55"/>
      <c r="AE151" s="49">
        <f t="shared" si="55"/>
        <v>132.21191629307765</v>
      </c>
      <c r="AF151" s="48">
        <f t="shared" si="30"/>
        <v>42.21191629307765</v>
      </c>
      <c r="AG151" s="48">
        <f t="shared" si="56"/>
        <v>14.705103557676367</v>
      </c>
      <c r="AH151" s="56"/>
      <c r="AI151" s="53"/>
    </row>
    <row r="152" spans="1:35" s="39" customFormat="1" ht="12.75">
      <c r="A152" s="81">
        <v>131.325</v>
      </c>
      <c r="B152" s="43" t="s">
        <v>44</v>
      </c>
      <c r="C152" s="43" t="s">
        <v>71</v>
      </c>
      <c r="D152" s="43">
        <v>2</v>
      </c>
      <c r="E152" s="40" t="s">
        <v>46</v>
      </c>
      <c r="F152" s="41">
        <v>17</v>
      </c>
      <c r="G152" s="42">
        <v>17</v>
      </c>
      <c r="H152" s="43"/>
      <c r="I152" s="44"/>
      <c r="J152" s="40">
        <v>270</v>
      </c>
      <c r="K152" s="45">
        <v>2</v>
      </c>
      <c r="L152" s="45">
        <v>0</v>
      </c>
      <c r="M152" s="45">
        <v>3</v>
      </c>
      <c r="N152" s="45"/>
      <c r="O152" s="46"/>
      <c r="P152" s="47">
        <f t="shared" si="49"/>
        <v>-0.05230407459247084</v>
      </c>
      <c r="Q152" s="47">
        <f t="shared" si="50"/>
        <v>0.03485166815518733</v>
      </c>
      <c r="R152" s="47">
        <f t="shared" si="51"/>
        <v>0.9980211966240684</v>
      </c>
      <c r="S152" s="48">
        <f t="shared" si="52"/>
        <v>146.32336918625154</v>
      </c>
      <c r="T152" s="48">
        <f t="shared" si="57"/>
        <v>86.39647307521291</v>
      </c>
      <c r="U152" s="49">
        <f t="shared" si="53"/>
        <v>326.3233691862515</v>
      </c>
      <c r="V152" s="48">
        <f t="shared" si="22"/>
        <v>236.3233691862515</v>
      </c>
      <c r="W152" s="50">
        <f t="shared" si="54"/>
        <v>3.60352692478709</v>
      </c>
      <c r="X152" s="51"/>
      <c r="Y152" s="52"/>
      <c r="Z152" s="53"/>
      <c r="AA152" s="40">
        <v>0</v>
      </c>
      <c r="AB152" s="43">
        <v>38</v>
      </c>
      <c r="AC152" s="54">
        <v>215.2</v>
      </c>
      <c r="AD152" s="55">
        <v>-27.7</v>
      </c>
      <c r="AE152" s="49">
        <f t="shared" si="55"/>
        <v>291.1233691862515</v>
      </c>
      <c r="AF152" s="48">
        <f t="shared" si="30"/>
        <v>201.12336918625152</v>
      </c>
      <c r="AG152" s="48">
        <f t="shared" si="56"/>
        <v>3.60352692478709</v>
      </c>
      <c r="AH152" s="56"/>
      <c r="AI152" s="53"/>
    </row>
    <row r="153" spans="1:36" s="39" customFormat="1" ht="12.75">
      <c r="A153" s="81">
        <v>140.93</v>
      </c>
      <c r="B153" s="43" t="s">
        <v>44</v>
      </c>
      <c r="C153" s="43" t="s">
        <v>72</v>
      </c>
      <c r="D153" s="43">
        <v>1</v>
      </c>
      <c r="E153" s="40" t="s">
        <v>73</v>
      </c>
      <c r="F153" s="41">
        <v>54</v>
      </c>
      <c r="G153" s="42">
        <v>55</v>
      </c>
      <c r="H153" s="43"/>
      <c r="I153" s="44"/>
      <c r="J153" s="40">
        <v>270</v>
      </c>
      <c r="K153" s="45">
        <v>3</v>
      </c>
      <c r="L153" s="45">
        <v>180</v>
      </c>
      <c r="M153" s="45">
        <v>2</v>
      </c>
      <c r="N153" s="45"/>
      <c r="O153" s="46"/>
      <c r="P153" s="47">
        <f t="shared" si="49"/>
        <v>-0.03485166815518733</v>
      </c>
      <c r="Q153" s="47">
        <f t="shared" si="50"/>
        <v>-0.052304074592470835</v>
      </c>
      <c r="R153" s="47">
        <f t="shared" si="51"/>
        <v>-0.9980211966240684</v>
      </c>
      <c r="S153" s="48">
        <f t="shared" si="52"/>
        <v>236.32336918625154</v>
      </c>
      <c r="T153" s="48">
        <f t="shared" si="57"/>
        <v>-86.39647307521291</v>
      </c>
      <c r="U153" s="49">
        <f t="shared" si="53"/>
        <v>236.32336918625154</v>
      </c>
      <c r="V153" s="48">
        <f t="shared" si="22"/>
        <v>146.32336918625154</v>
      </c>
      <c r="W153" s="50">
        <f t="shared" si="54"/>
        <v>3.60352692478709</v>
      </c>
      <c r="X153" s="51"/>
      <c r="Y153" s="52"/>
      <c r="Z153" s="53"/>
      <c r="AA153" s="40">
        <v>2</v>
      </c>
      <c r="AB153" s="43">
        <v>98</v>
      </c>
      <c r="AC153" s="54">
        <v>318.2</v>
      </c>
      <c r="AD153" s="55">
        <v>-6.2</v>
      </c>
      <c r="AE153" s="49">
        <f t="shared" si="55"/>
        <v>98.12336918625155</v>
      </c>
      <c r="AF153" s="48">
        <f t="shared" si="30"/>
        <v>8.123369186251551</v>
      </c>
      <c r="AG153" s="48">
        <f t="shared" si="56"/>
        <v>3.60352692478709</v>
      </c>
      <c r="AH153" s="56"/>
      <c r="AI153" s="53"/>
      <c r="AJ153" s="39" t="s">
        <v>85</v>
      </c>
    </row>
    <row r="154" spans="1:35" s="39" customFormat="1" ht="21">
      <c r="A154" s="81">
        <v>141.26</v>
      </c>
      <c r="B154" s="43" t="s">
        <v>44</v>
      </c>
      <c r="C154" s="43" t="s">
        <v>72</v>
      </c>
      <c r="D154" s="43">
        <v>1</v>
      </c>
      <c r="E154" s="40" t="s">
        <v>46</v>
      </c>
      <c r="F154" s="41">
        <v>87</v>
      </c>
      <c r="G154" s="42">
        <v>92</v>
      </c>
      <c r="H154" s="43"/>
      <c r="I154" s="44"/>
      <c r="J154" s="40">
        <v>270</v>
      </c>
      <c r="K154" s="45">
        <v>33</v>
      </c>
      <c r="L154" s="45">
        <v>180</v>
      </c>
      <c r="M154" s="45">
        <v>36</v>
      </c>
      <c r="N154" s="45"/>
      <c r="O154" s="46"/>
      <c r="P154" s="47">
        <f t="shared" si="49"/>
        <v>-0.49295819137007285</v>
      </c>
      <c r="Q154" s="47">
        <f t="shared" si="50"/>
        <v>-0.44062223512712884</v>
      </c>
      <c r="R154" s="47">
        <f t="shared" si="51"/>
        <v>-0.6784987421499371</v>
      </c>
      <c r="S154" s="48">
        <f t="shared" si="52"/>
        <v>221.7913914923671</v>
      </c>
      <c r="T154" s="48">
        <f t="shared" si="57"/>
        <v>-45.740758643194745</v>
      </c>
      <c r="U154" s="49">
        <f t="shared" si="53"/>
        <v>221.7913914923671</v>
      </c>
      <c r="V154" s="48">
        <f t="shared" si="22"/>
        <v>131.7913914923671</v>
      </c>
      <c r="W154" s="50">
        <f t="shared" si="54"/>
        <v>44.259241356805255</v>
      </c>
      <c r="X154" s="51"/>
      <c r="Y154" s="52"/>
      <c r="Z154" s="53"/>
      <c r="AA154" s="40">
        <v>2</v>
      </c>
      <c r="AB154" s="43">
        <v>98</v>
      </c>
      <c r="AC154" s="54">
        <v>27.8</v>
      </c>
      <c r="AD154" s="55">
        <v>16.7</v>
      </c>
      <c r="AE154" s="49">
        <f t="shared" si="55"/>
        <v>193.9913914923671</v>
      </c>
      <c r="AF154" s="48">
        <f t="shared" si="30"/>
        <v>103.99139149236709</v>
      </c>
      <c r="AG154" s="48">
        <f t="shared" si="56"/>
        <v>44.259241356805255</v>
      </c>
      <c r="AH154" s="56"/>
      <c r="AI154" s="53"/>
    </row>
    <row r="155" spans="1:35" s="39" customFormat="1" ht="12.75">
      <c r="A155" s="81">
        <v>141.49</v>
      </c>
      <c r="B155" s="43" t="s">
        <v>44</v>
      </c>
      <c r="C155" s="43" t="s">
        <v>72</v>
      </c>
      <c r="D155" s="43">
        <v>1</v>
      </c>
      <c r="E155" s="40" t="s">
        <v>46</v>
      </c>
      <c r="F155" s="41">
        <v>110</v>
      </c>
      <c r="G155" s="42">
        <v>111</v>
      </c>
      <c r="H155" s="43"/>
      <c r="I155" s="44"/>
      <c r="J155" s="40">
        <v>270</v>
      </c>
      <c r="K155" s="45">
        <v>8</v>
      </c>
      <c r="L155" s="45">
        <v>0</v>
      </c>
      <c r="M155" s="45">
        <v>3</v>
      </c>
      <c r="N155" s="45"/>
      <c r="O155" s="46"/>
      <c r="P155" s="47">
        <f t="shared" si="49"/>
        <v>-0.05182662631444332</v>
      </c>
      <c r="Q155" s="47">
        <f t="shared" si="50"/>
        <v>0.13898236906210149</v>
      </c>
      <c r="R155" s="47">
        <f t="shared" si="51"/>
        <v>0.9889109407697048</v>
      </c>
      <c r="S155" s="48">
        <f t="shared" si="52"/>
        <v>110.45052195012669</v>
      </c>
      <c r="T155" s="48">
        <f t="shared" si="57"/>
        <v>81.46955163874233</v>
      </c>
      <c r="U155" s="49">
        <f t="shared" si="53"/>
        <v>290.4505219501267</v>
      </c>
      <c r="V155" s="48">
        <f t="shared" si="22"/>
        <v>200.4505219501267</v>
      </c>
      <c r="W155" s="50">
        <f t="shared" si="54"/>
        <v>8.530448361257669</v>
      </c>
      <c r="X155" s="51"/>
      <c r="Y155" s="52"/>
      <c r="Z155" s="53"/>
      <c r="AA155" s="40">
        <v>107</v>
      </c>
      <c r="AB155" s="43">
        <v>127</v>
      </c>
      <c r="AC155" s="54">
        <v>163.3</v>
      </c>
      <c r="AD155" s="55">
        <v>14.2</v>
      </c>
      <c r="AE155" s="49">
        <f t="shared" si="55"/>
        <v>127.15052195012669</v>
      </c>
      <c r="AF155" s="48">
        <f t="shared" si="30"/>
        <v>37.15052195012669</v>
      </c>
      <c r="AG155" s="48">
        <f t="shared" si="56"/>
        <v>8.530448361257669</v>
      </c>
      <c r="AH155" s="56"/>
      <c r="AI155" s="53"/>
    </row>
    <row r="156" spans="1:36" s="39" customFormat="1" ht="21">
      <c r="A156" s="81">
        <v>145.755</v>
      </c>
      <c r="B156" s="43" t="s">
        <v>44</v>
      </c>
      <c r="C156" s="43" t="s">
        <v>72</v>
      </c>
      <c r="D156" s="43">
        <v>6</v>
      </c>
      <c r="E156" s="40" t="s">
        <v>73</v>
      </c>
      <c r="F156" s="41">
        <v>28</v>
      </c>
      <c r="G156" s="42">
        <v>28</v>
      </c>
      <c r="H156" s="43"/>
      <c r="I156" s="44"/>
      <c r="J156" s="40">
        <v>270</v>
      </c>
      <c r="K156" s="45">
        <v>3</v>
      </c>
      <c r="L156" s="45">
        <v>180</v>
      </c>
      <c r="M156" s="45">
        <v>16</v>
      </c>
      <c r="N156" s="45"/>
      <c r="O156" s="46"/>
      <c r="P156" s="47">
        <f t="shared" si="49"/>
        <v>-0.2752596044005108</v>
      </c>
      <c r="Q156" s="47">
        <f t="shared" si="50"/>
        <v>-0.050308550056645786</v>
      </c>
      <c r="R156" s="47">
        <f t="shared" si="51"/>
        <v>-0.959944320192276</v>
      </c>
      <c r="S156" s="48">
        <f t="shared" si="52"/>
        <v>190.35749716130834</v>
      </c>
      <c r="T156" s="48">
        <f t="shared" si="57"/>
        <v>-73.74884617916503</v>
      </c>
      <c r="U156" s="49">
        <f t="shared" si="53"/>
        <v>190.35749716130834</v>
      </c>
      <c r="V156" s="48">
        <f t="shared" si="22"/>
        <v>100.35749716130834</v>
      </c>
      <c r="W156" s="50">
        <f t="shared" si="54"/>
        <v>16.251153820834972</v>
      </c>
      <c r="X156" s="51"/>
      <c r="Y156" s="52"/>
      <c r="Z156" s="53"/>
      <c r="AA156" s="40">
        <v>0</v>
      </c>
      <c r="AB156" s="43">
        <v>84</v>
      </c>
      <c r="AC156" s="54">
        <v>355.5</v>
      </c>
      <c r="AD156" s="55">
        <v>70.5</v>
      </c>
      <c r="AE156" s="49">
        <f t="shared" si="55"/>
        <v>194.85749716130834</v>
      </c>
      <c r="AF156" s="48">
        <f t="shared" si="30"/>
        <v>104.85749716130834</v>
      </c>
      <c r="AG156" s="48">
        <f t="shared" si="56"/>
        <v>16.251153820834972</v>
      </c>
      <c r="AH156" s="56"/>
      <c r="AI156" s="53"/>
      <c r="AJ156" s="39" t="s">
        <v>85</v>
      </c>
    </row>
    <row r="157" spans="1:36" s="39" customFormat="1" ht="12.75">
      <c r="A157" s="81">
        <v>146.515</v>
      </c>
      <c r="B157" s="43" t="s">
        <v>44</v>
      </c>
      <c r="C157" s="43" t="s">
        <v>72</v>
      </c>
      <c r="D157" s="43">
        <v>7</v>
      </c>
      <c r="E157" s="40" t="s">
        <v>73</v>
      </c>
      <c r="F157" s="41">
        <v>19</v>
      </c>
      <c r="G157" s="42">
        <v>19</v>
      </c>
      <c r="H157" s="43"/>
      <c r="I157" s="44"/>
      <c r="J157" s="40">
        <v>270</v>
      </c>
      <c r="K157" s="45">
        <v>0</v>
      </c>
      <c r="L157" s="45">
        <v>180</v>
      </c>
      <c r="M157" s="45">
        <v>8</v>
      </c>
      <c r="N157" s="45"/>
      <c r="O157" s="46"/>
      <c r="P157" s="47">
        <f t="shared" si="49"/>
        <v>-0.13917310096006544</v>
      </c>
      <c r="Q157" s="47">
        <f t="shared" si="50"/>
        <v>2.5565683892723334E-17</v>
      </c>
      <c r="R157" s="47">
        <f t="shared" si="51"/>
        <v>-0.9902680687415704</v>
      </c>
      <c r="S157" s="48">
        <f t="shared" si="52"/>
        <v>180</v>
      </c>
      <c r="T157" s="48">
        <f t="shared" si="57"/>
        <v>-82.00000000000001</v>
      </c>
      <c r="U157" s="49">
        <f t="shared" si="53"/>
        <v>180</v>
      </c>
      <c r="V157" s="48">
        <f t="shared" si="22"/>
        <v>90</v>
      </c>
      <c r="W157" s="50">
        <f t="shared" si="54"/>
        <v>7.999999999999986</v>
      </c>
      <c r="X157" s="51"/>
      <c r="Y157" s="52"/>
      <c r="Z157" s="53"/>
      <c r="AA157" s="40">
        <v>0</v>
      </c>
      <c r="AB157" s="43">
        <v>66</v>
      </c>
      <c r="AC157" s="54">
        <v>50.7</v>
      </c>
      <c r="AD157" s="55">
        <v>76</v>
      </c>
      <c r="AE157" s="49">
        <f t="shared" si="55"/>
        <v>129.3</v>
      </c>
      <c r="AF157" s="48">
        <f t="shared" si="30"/>
        <v>39.30000000000001</v>
      </c>
      <c r="AG157" s="48">
        <f t="shared" si="56"/>
        <v>7.999999999999986</v>
      </c>
      <c r="AH157" s="56"/>
      <c r="AI157" s="53"/>
      <c r="AJ157" s="39" t="s">
        <v>85</v>
      </c>
    </row>
    <row r="158" spans="1:36" s="39" customFormat="1" ht="21">
      <c r="A158" s="81">
        <v>150.765</v>
      </c>
      <c r="B158" s="43" t="s">
        <v>44</v>
      </c>
      <c r="C158" s="43" t="s">
        <v>74</v>
      </c>
      <c r="D158" s="43">
        <v>1</v>
      </c>
      <c r="E158" s="40" t="s">
        <v>73</v>
      </c>
      <c r="F158" s="41">
        <v>87.5</v>
      </c>
      <c r="G158" s="42">
        <v>87.5</v>
      </c>
      <c r="H158" s="43"/>
      <c r="I158" s="44"/>
      <c r="J158" s="40">
        <v>270</v>
      </c>
      <c r="K158" s="45">
        <v>2</v>
      </c>
      <c r="L158" s="45">
        <v>180</v>
      </c>
      <c r="M158" s="45">
        <v>7</v>
      </c>
      <c r="N158" s="45"/>
      <c r="O158" s="46"/>
      <c r="P158" s="47">
        <f aca="true" t="shared" si="58" ref="P158:P218">COS(K158*PI()/180)*SIN(J158*PI()/180)*(SIN(M158*PI()/180))-(COS(M158*PI()/180)*SIN(L158*PI()/180))*(SIN(K158*PI()/180))</f>
        <v>-0.12179510389394452</v>
      </c>
      <c r="Q158" s="47">
        <f aca="true" t="shared" si="59" ref="Q158:Q218">(SIN(K158*PI()/180))*(COS(M158*PI()/180)*COS(L158*PI()/180))-(SIN(M158*PI()/180))*(COS(K158*PI()/180)*COS(J158*PI()/180))</f>
        <v>-0.034639361146286324</v>
      </c>
      <c r="R158" s="47">
        <f aca="true" t="shared" si="60" ref="R158:R218">(COS(K158*PI()/180)*COS(J158*PI()/180))*(COS(M158*PI()/180)*SIN(L158*PI()/180))-(COS(K158*PI()/180)*SIN(J158*PI()/180))*(COS(M158*PI()/180)*COS(L158*PI()/180))</f>
        <v>-0.9919415193434417</v>
      </c>
      <c r="S158" s="48">
        <f aca="true" t="shared" si="61" ref="S158:S218">IF(P158=0,IF(Q158&gt;=0,90,270),IF(P158&gt;0,IF(Q158&gt;=0,ATAN(Q158/P158)*180/PI(),ATAN(Q158/P158)*180/PI()+360),ATAN(Q158/P158)*180/PI()+180))</f>
        <v>195.87611478209257</v>
      </c>
      <c r="T158" s="48">
        <f t="shared" si="57"/>
        <v>-82.72531708215082</v>
      </c>
      <c r="U158" s="49">
        <f aca="true" t="shared" si="62" ref="U158:U218">IF(R158&lt;0,S158,IF(S158+180&gt;=360,S158-180,S158+180))</f>
        <v>195.87611478209257</v>
      </c>
      <c r="V158" s="48">
        <f t="shared" si="22"/>
        <v>105.87611478209257</v>
      </c>
      <c r="W158" s="50">
        <f aca="true" t="shared" si="63" ref="W158:W218">IF(R158&lt;0,90+T158,90-T158)</f>
        <v>7.2746829178491765</v>
      </c>
      <c r="X158" s="51"/>
      <c r="Y158" s="52"/>
      <c r="Z158" s="53"/>
      <c r="AA158" s="40">
        <v>65</v>
      </c>
      <c r="AB158" s="43">
        <v>115</v>
      </c>
      <c r="AC158" s="54">
        <v>45.8</v>
      </c>
      <c r="AD158" s="55">
        <v>-59</v>
      </c>
      <c r="AE158" s="49">
        <f aca="true" t="shared" si="64" ref="AE158:AE218">IF(AD158&gt;=0,IF(U158&gt;=AC158,U158-AC158,U158-AC158+360),IF((U158-AC158-180)&lt;0,IF(U158-AC158+180&lt;0,U158-AC158+540,U158-AC158+180),U158-AC158-180))</f>
        <v>330.0761147820926</v>
      </c>
      <c r="AF158" s="48">
        <f t="shared" si="30"/>
        <v>240.0761147820926</v>
      </c>
      <c r="AG158" s="48">
        <f aca="true" t="shared" si="65" ref="AG158:AG218">W158</f>
        <v>7.2746829178491765</v>
      </c>
      <c r="AH158" s="56"/>
      <c r="AI158" s="53"/>
      <c r="AJ158" s="39" t="s">
        <v>85</v>
      </c>
    </row>
    <row r="159" spans="1:35" s="39" customFormat="1" ht="12.75">
      <c r="A159" s="81">
        <v>150.9</v>
      </c>
      <c r="B159" s="43" t="s">
        <v>44</v>
      </c>
      <c r="C159" s="43" t="s">
        <v>74</v>
      </c>
      <c r="D159" s="43">
        <v>1</v>
      </c>
      <c r="E159" s="40" t="s">
        <v>46</v>
      </c>
      <c r="F159" s="41">
        <v>101</v>
      </c>
      <c r="G159" s="42">
        <v>101</v>
      </c>
      <c r="H159" s="43"/>
      <c r="I159" s="44"/>
      <c r="J159" s="40">
        <v>270</v>
      </c>
      <c r="K159" s="45">
        <v>5</v>
      </c>
      <c r="L159" s="45">
        <v>0</v>
      </c>
      <c r="M159" s="45">
        <v>18</v>
      </c>
      <c r="N159" s="45"/>
      <c r="O159" s="46"/>
      <c r="P159" s="47">
        <f t="shared" si="58"/>
        <v>-0.30784109141656935</v>
      </c>
      <c r="Q159" s="47">
        <f t="shared" si="59"/>
        <v>0.08289003707270443</v>
      </c>
      <c r="R159" s="47">
        <f t="shared" si="60"/>
        <v>0.9474374591188377</v>
      </c>
      <c r="S159" s="48">
        <f t="shared" si="61"/>
        <v>164.9298209938401</v>
      </c>
      <c r="T159" s="48">
        <f t="shared" si="57"/>
        <v>71.4023093742927</v>
      </c>
      <c r="U159" s="49">
        <f t="shared" si="62"/>
        <v>344.9298209938401</v>
      </c>
      <c r="V159" s="48">
        <f t="shared" si="22"/>
        <v>254.9298209938401</v>
      </c>
      <c r="W159" s="50">
        <f t="shared" si="63"/>
        <v>18.5976906257073</v>
      </c>
      <c r="X159" s="51"/>
      <c r="Y159" s="52"/>
      <c r="Z159" s="53"/>
      <c r="AA159" s="40">
        <v>65</v>
      </c>
      <c r="AB159" s="43">
        <v>115</v>
      </c>
      <c r="AC159" s="54">
        <v>35.1</v>
      </c>
      <c r="AD159" s="55">
        <v>60.1</v>
      </c>
      <c r="AE159" s="49">
        <f t="shared" si="64"/>
        <v>309.8298209938401</v>
      </c>
      <c r="AF159" s="48">
        <f t="shared" si="30"/>
        <v>219.8298209938401</v>
      </c>
      <c r="AG159" s="48">
        <f t="shared" si="65"/>
        <v>18.5976906257073</v>
      </c>
      <c r="AH159" s="56"/>
      <c r="AI159" s="53"/>
    </row>
    <row r="160" spans="1:36" s="39" customFormat="1" ht="12.75">
      <c r="A160" s="81">
        <v>150.94</v>
      </c>
      <c r="B160" s="43" t="s">
        <v>44</v>
      </c>
      <c r="C160" s="43" t="s">
        <v>74</v>
      </c>
      <c r="D160" s="43">
        <v>1</v>
      </c>
      <c r="E160" s="40" t="s">
        <v>73</v>
      </c>
      <c r="F160" s="41">
        <v>105</v>
      </c>
      <c r="G160" s="42">
        <v>105</v>
      </c>
      <c r="H160" s="43"/>
      <c r="I160" s="44"/>
      <c r="J160" s="40">
        <v>270</v>
      </c>
      <c r="K160" s="45">
        <v>4</v>
      </c>
      <c r="L160" s="45">
        <v>180</v>
      </c>
      <c r="M160" s="45">
        <v>2</v>
      </c>
      <c r="N160" s="45"/>
      <c r="O160" s="46"/>
      <c r="P160" s="47">
        <f t="shared" si="58"/>
        <v>-0.034814483282576254</v>
      </c>
      <c r="Q160" s="47">
        <f t="shared" si="59"/>
        <v>-0.06971397998507722</v>
      </c>
      <c r="R160" s="47">
        <f t="shared" si="60"/>
        <v>-0.9969563611936845</v>
      </c>
      <c r="S160" s="48">
        <f t="shared" si="61"/>
        <v>243.46290360641922</v>
      </c>
      <c r="T160" s="48">
        <f t="shared" si="57"/>
        <v>-85.53076266752878</v>
      </c>
      <c r="U160" s="49">
        <f t="shared" si="62"/>
        <v>243.46290360641922</v>
      </c>
      <c r="V160" s="48">
        <f t="shared" si="22"/>
        <v>153.46290360641922</v>
      </c>
      <c r="W160" s="50">
        <f t="shared" si="63"/>
        <v>4.469237332471224</v>
      </c>
      <c r="X160" s="51"/>
      <c r="Y160" s="52"/>
      <c r="Z160" s="53"/>
      <c r="AA160" s="40">
        <v>65</v>
      </c>
      <c r="AB160" s="43">
        <v>115</v>
      </c>
      <c r="AC160" s="54">
        <v>153.1</v>
      </c>
      <c r="AD160" s="55">
        <v>61.2</v>
      </c>
      <c r="AE160" s="49">
        <f t="shared" si="64"/>
        <v>90.36290360641922</v>
      </c>
      <c r="AF160" s="48">
        <f t="shared" si="30"/>
        <v>0.3629036064192235</v>
      </c>
      <c r="AG160" s="48">
        <f t="shared" si="65"/>
        <v>4.469237332471224</v>
      </c>
      <c r="AH160" s="56"/>
      <c r="AI160" s="53"/>
      <c r="AJ160" s="39" t="s">
        <v>85</v>
      </c>
    </row>
    <row r="161" spans="1:35" s="39" customFormat="1" ht="12.75">
      <c r="A161" s="81">
        <v>151.83</v>
      </c>
      <c r="B161" s="43" t="s">
        <v>44</v>
      </c>
      <c r="C161" s="43" t="s">
        <v>74</v>
      </c>
      <c r="D161" s="43">
        <v>3</v>
      </c>
      <c r="E161" s="40" t="s">
        <v>46</v>
      </c>
      <c r="F161" s="41">
        <v>18</v>
      </c>
      <c r="G161" s="42">
        <v>18</v>
      </c>
      <c r="H161" s="43"/>
      <c r="I161" s="44"/>
      <c r="J161" s="40">
        <v>270</v>
      </c>
      <c r="K161" s="45">
        <v>0</v>
      </c>
      <c r="L161" s="45">
        <v>0</v>
      </c>
      <c r="M161" s="45">
        <v>6</v>
      </c>
      <c r="N161" s="45"/>
      <c r="O161" s="46"/>
      <c r="P161" s="47">
        <f t="shared" si="58"/>
        <v>-0.10452846326765346</v>
      </c>
      <c r="Q161" s="47">
        <f t="shared" si="59"/>
        <v>1.920156719407852E-17</v>
      </c>
      <c r="R161" s="47">
        <f t="shared" si="60"/>
        <v>0.9945218953682733</v>
      </c>
      <c r="S161" s="48">
        <f t="shared" si="61"/>
        <v>180</v>
      </c>
      <c r="T161" s="48">
        <f t="shared" si="57"/>
        <v>84.00000000000003</v>
      </c>
      <c r="U161" s="49">
        <f t="shared" si="62"/>
        <v>0</v>
      </c>
      <c r="V161" s="48">
        <f t="shared" si="22"/>
        <v>270</v>
      </c>
      <c r="W161" s="50">
        <f t="shared" si="63"/>
        <v>5.999999999999972</v>
      </c>
      <c r="X161" s="51"/>
      <c r="Y161" s="52"/>
      <c r="Z161" s="53"/>
      <c r="AA161" s="40">
        <v>0</v>
      </c>
      <c r="AB161" s="43">
        <v>30</v>
      </c>
      <c r="AC161" s="54">
        <v>318.7</v>
      </c>
      <c r="AD161" s="55">
        <v>-71.6</v>
      </c>
      <c r="AE161" s="49">
        <f t="shared" si="64"/>
        <v>221.3</v>
      </c>
      <c r="AF161" s="48">
        <f t="shared" si="30"/>
        <v>131.3</v>
      </c>
      <c r="AG161" s="48">
        <f t="shared" si="65"/>
        <v>5.999999999999972</v>
      </c>
      <c r="AH161" s="56"/>
      <c r="AI161" s="53"/>
    </row>
    <row r="162" spans="1:36" s="39" customFormat="1" ht="21">
      <c r="A162" s="81">
        <v>152.24</v>
      </c>
      <c r="B162" s="43" t="s">
        <v>44</v>
      </c>
      <c r="C162" s="43" t="s">
        <v>74</v>
      </c>
      <c r="D162" s="43">
        <v>3</v>
      </c>
      <c r="E162" s="40" t="s">
        <v>73</v>
      </c>
      <c r="F162" s="41">
        <v>59</v>
      </c>
      <c r="G162" s="42">
        <v>59</v>
      </c>
      <c r="H162" s="43"/>
      <c r="I162" s="44"/>
      <c r="J162" s="40">
        <v>270</v>
      </c>
      <c r="K162" s="45">
        <v>4</v>
      </c>
      <c r="L162" s="45">
        <v>180</v>
      </c>
      <c r="M162" s="45">
        <v>13</v>
      </c>
      <c r="N162" s="45"/>
      <c r="O162" s="46"/>
      <c r="P162" s="47">
        <f t="shared" si="58"/>
        <v>-0.2244030848814838</v>
      </c>
      <c r="Q162" s="47">
        <f t="shared" si="59"/>
        <v>-0.0679686198412529</v>
      </c>
      <c r="R162" s="47">
        <f t="shared" si="60"/>
        <v>-0.9719965482790865</v>
      </c>
      <c r="S162" s="48">
        <f t="shared" si="61"/>
        <v>196.85084156688498</v>
      </c>
      <c r="T162" s="48">
        <f t="shared" si="57"/>
        <v>-76.43787781462113</v>
      </c>
      <c r="U162" s="49">
        <f t="shared" si="62"/>
        <v>196.85084156688498</v>
      </c>
      <c r="V162" s="48">
        <f t="shared" si="22"/>
        <v>106.85084156688498</v>
      </c>
      <c r="W162" s="50">
        <f t="shared" si="63"/>
        <v>13.562122185378868</v>
      </c>
      <c r="X162" s="51"/>
      <c r="Y162" s="52"/>
      <c r="Z162" s="53"/>
      <c r="AA162" s="40">
        <v>36</v>
      </c>
      <c r="AB162" s="43">
        <v>88</v>
      </c>
      <c r="AC162" s="54">
        <v>37.6</v>
      </c>
      <c r="AD162" s="55">
        <v>-39.8</v>
      </c>
      <c r="AE162" s="49">
        <f t="shared" si="64"/>
        <v>339.250841566885</v>
      </c>
      <c r="AF162" s="48">
        <f t="shared" si="30"/>
        <v>249.25084156688501</v>
      </c>
      <c r="AG162" s="48">
        <f t="shared" si="65"/>
        <v>13.562122185378868</v>
      </c>
      <c r="AH162" s="56"/>
      <c r="AI162" s="53"/>
      <c r="AJ162" s="39" t="s">
        <v>85</v>
      </c>
    </row>
    <row r="163" spans="1:36" s="39" customFormat="1" ht="12.75">
      <c r="A163" s="81">
        <v>153.03</v>
      </c>
      <c r="B163" s="43" t="s">
        <v>44</v>
      </c>
      <c r="C163" s="43" t="s">
        <v>75</v>
      </c>
      <c r="D163" s="43">
        <v>1</v>
      </c>
      <c r="E163" s="40" t="s">
        <v>73</v>
      </c>
      <c r="F163" s="41">
        <v>28</v>
      </c>
      <c r="G163" s="42">
        <v>28</v>
      </c>
      <c r="H163" s="43"/>
      <c r="I163" s="44"/>
      <c r="J163" s="40">
        <v>270</v>
      </c>
      <c r="K163" s="45">
        <v>0</v>
      </c>
      <c r="L163" s="45">
        <v>180</v>
      </c>
      <c r="M163" s="45">
        <v>17</v>
      </c>
      <c r="N163" s="45"/>
      <c r="O163" s="46"/>
      <c r="P163" s="47">
        <f t="shared" si="58"/>
        <v>-0.29237170472273677</v>
      </c>
      <c r="Q163" s="47">
        <f t="shared" si="59"/>
        <v>5.37078108524932E-17</v>
      </c>
      <c r="R163" s="47">
        <f t="shared" si="60"/>
        <v>-0.9563047559630354</v>
      </c>
      <c r="S163" s="48">
        <f t="shared" si="61"/>
        <v>180</v>
      </c>
      <c r="T163" s="48">
        <f t="shared" si="57"/>
        <v>-73.00000000000001</v>
      </c>
      <c r="U163" s="49">
        <f t="shared" si="62"/>
        <v>180</v>
      </c>
      <c r="V163" s="48">
        <f t="shared" si="22"/>
        <v>90</v>
      </c>
      <c r="W163" s="50">
        <f t="shared" si="63"/>
        <v>16.999999999999986</v>
      </c>
      <c r="X163" s="51"/>
      <c r="Y163" s="52"/>
      <c r="Z163" s="53"/>
      <c r="AA163" s="40">
        <v>0</v>
      </c>
      <c r="AB163" s="43">
        <v>68</v>
      </c>
      <c r="AC163" s="54">
        <v>44.2</v>
      </c>
      <c r="AD163" s="55">
        <v>-30.1</v>
      </c>
      <c r="AE163" s="49">
        <f t="shared" si="64"/>
        <v>315.8</v>
      </c>
      <c r="AF163" s="48">
        <f t="shared" si="30"/>
        <v>225.8</v>
      </c>
      <c r="AG163" s="48">
        <f t="shared" si="65"/>
        <v>16.999999999999986</v>
      </c>
      <c r="AH163" s="56"/>
      <c r="AI163" s="53"/>
      <c r="AJ163" s="39" t="s">
        <v>85</v>
      </c>
    </row>
    <row r="164" spans="1:35" s="39" customFormat="1" ht="12.75">
      <c r="A164" s="81">
        <v>153.2</v>
      </c>
      <c r="B164" s="43" t="s">
        <v>44</v>
      </c>
      <c r="C164" s="43" t="s">
        <v>75</v>
      </c>
      <c r="D164" s="43">
        <v>1</v>
      </c>
      <c r="E164" s="40" t="s">
        <v>46</v>
      </c>
      <c r="F164" s="41">
        <v>45</v>
      </c>
      <c r="G164" s="42">
        <v>45</v>
      </c>
      <c r="H164" s="43"/>
      <c r="I164" s="44"/>
      <c r="J164" s="40">
        <v>270</v>
      </c>
      <c r="K164" s="45">
        <v>0</v>
      </c>
      <c r="L164" s="45">
        <v>180</v>
      </c>
      <c r="M164" s="45">
        <v>8</v>
      </c>
      <c r="N164" s="45"/>
      <c r="O164" s="46"/>
      <c r="P164" s="47">
        <f t="shared" si="58"/>
        <v>-0.13917310096006544</v>
      </c>
      <c r="Q164" s="47">
        <f t="shared" si="59"/>
        <v>2.5565683892723334E-17</v>
      </c>
      <c r="R164" s="47">
        <f t="shared" si="60"/>
        <v>-0.9902680687415704</v>
      </c>
      <c r="S164" s="48">
        <f t="shared" si="61"/>
        <v>180</v>
      </c>
      <c r="T164" s="48">
        <f t="shared" si="57"/>
        <v>-82.00000000000001</v>
      </c>
      <c r="U164" s="49">
        <f t="shared" si="62"/>
        <v>180</v>
      </c>
      <c r="V164" s="48">
        <f t="shared" si="22"/>
        <v>90</v>
      </c>
      <c r="W164" s="50">
        <f t="shared" si="63"/>
        <v>7.999999999999986</v>
      </c>
      <c r="X164" s="51"/>
      <c r="Y164" s="52"/>
      <c r="Z164" s="53"/>
      <c r="AA164" s="40">
        <v>0</v>
      </c>
      <c r="AB164" s="43">
        <v>68</v>
      </c>
      <c r="AC164" s="54">
        <v>244.2</v>
      </c>
      <c r="AD164" s="55">
        <v>-74.1</v>
      </c>
      <c r="AE164" s="49">
        <f t="shared" si="64"/>
        <v>115.80000000000001</v>
      </c>
      <c r="AF164" s="48">
        <f t="shared" si="30"/>
        <v>25.80000000000001</v>
      </c>
      <c r="AG164" s="48">
        <f t="shared" si="65"/>
        <v>7.999999999999986</v>
      </c>
      <c r="AH164" s="56"/>
      <c r="AI164" s="53"/>
    </row>
    <row r="165" spans="1:35" s="39" customFormat="1" ht="21">
      <c r="A165" s="81">
        <v>153.59</v>
      </c>
      <c r="B165" s="43" t="s">
        <v>44</v>
      </c>
      <c r="C165" s="43" t="s">
        <v>75</v>
      </c>
      <c r="D165" s="43">
        <v>1</v>
      </c>
      <c r="E165" s="40" t="s">
        <v>46</v>
      </c>
      <c r="F165" s="41">
        <v>84</v>
      </c>
      <c r="G165" s="42">
        <v>84</v>
      </c>
      <c r="H165" s="43"/>
      <c r="I165" s="44"/>
      <c r="J165" s="40">
        <v>90</v>
      </c>
      <c r="K165" s="45">
        <v>2</v>
      </c>
      <c r="L165" s="45">
        <v>0</v>
      </c>
      <c r="M165" s="45">
        <v>2</v>
      </c>
      <c r="N165" s="45"/>
      <c r="O165" s="46"/>
      <c r="P165" s="47">
        <f t="shared" si="58"/>
        <v>0.03487823687206265</v>
      </c>
      <c r="Q165" s="47">
        <f t="shared" si="59"/>
        <v>0.03487823687206265</v>
      </c>
      <c r="R165" s="47">
        <f t="shared" si="60"/>
        <v>-0.9987820251299122</v>
      </c>
      <c r="S165" s="48">
        <f t="shared" si="61"/>
        <v>45</v>
      </c>
      <c r="T165" s="48">
        <f t="shared" si="57"/>
        <v>-87.17272054092648</v>
      </c>
      <c r="U165" s="49">
        <f t="shared" si="62"/>
        <v>45</v>
      </c>
      <c r="V165" s="48">
        <f t="shared" si="22"/>
        <v>315</v>
      </c>
      <c r="W165" s="50">
        <f t="shared" si="63"/>
        <v>2.827279459073523</v>
      </c>
      <c r="X165" s="51"/>
      <c r="Y165" s="52"/>
      <c r="Z165" s="53"/>
      <c r="AA165" s="40">
        <v>70</v>
      </c>
      <c r="AB165" s="43">
        <v>121</v>
      </c>
      <c r="AC165" s="54">
        <v>233.6</v>
      </c>
      <c r="AD165" s="55">
        <v>27.2</v>
      </c>
      <c r="AE165" s="49">
        <f t="shared" si="64"/>
        <v>171.4</v>
      </c>
      <c r="AF165" s="48">
        <f t="shared" si="30"/>
        <v>81.4</v>
      </c>
      <c r="AG165" s="48">
        <f t="shared" si="65"/>
        <v>2.827279459073523</v>
      </c>
      <c r="AH165" s="56"/>
      <c r="AI165" s="53"/>
    </row>
    <row r="166" spans="1:35" s="39" customFormat="1" ht="21">
      <c r="A166" s="81">
        <v>154.655</v>
      </c>
      <c r="B166" s="43" t="s">
        <v>44</v>
      </c>
      <c r="C166" s="43" t="s">
        <v>75</v>
      </c>
      <c r="D166" s="43">
        <v>2</v>
      </c>
      <c r="E166" s="40" t="s">
        <v>46</v>
      </c>
      <c r="F166" s="41">
        <v>60</v>
      </c>
      <c r="G166" s="42">
        <v>60</v>
      </c>
      <c r="H166" s="43"/>
      <c r="I166" s="44"/>
      <c r="J166" s="40">
        <v>90</v>
      </c>
      <c r="K166" s="45">
        <v>0</v>
      </c>
      <c r="L166" s="45">
        <v>0</v>
      </c>
      <c r="M166" s="45">
        <v>6</v>
      </c>
      <c r="N166" s="45"/>
      <c r="O166" s="46"/>
      <c r="P166" s="47">
        <f t="shared" si="58"/>
        <v>0.10452846326765346</v>
      </c>
      <c r="Q166" s="47">
        <f t="shared" si="59"/>
        <v>-6.4005223980261746E-18</v>
      </c>
      <c r="R166" s="47">
        <f t="shared" si="60"/>
        <v>-0.9945218953682733</v>
      </c>
      <c r="S166" s="48">
        <f t="shared" si="61"/>
        <v>360</v>
      </c>
      <c r="T166" s="48">
        <f t="shared" si="57"/>
        <v>-84.0000000000001</v>
      </c>
      <c r="U166" s="49">
        <f t="shared" si="62"/>
        <v>360</v>
      </c>
      <c r="V166" s="48">
        <f t="shared" si="22"/>
        <v>270</v>
      </c>
      <c r="W166" s="50">
        <f t="shared" si="63"/>
        <v>5.9999999999999005</v>
      </c>
      <c r="X166" s="51"/>
      <c r="Y166" s="52"/>
      <c r="Z166" s="53"/>
      <c r="AA166" s="40">
        <v>0</v>
      </c>
      <c r="AB166" s="43">
        <v>99</v>
      </c>
      <c r="AC166" s="54">
        <v>109.8</v>
      </c>
      <c r="AD166" s="55">
        <v>-31</v>
      </c>
      <c r="AE166" s="49">
        <f t="shared" si="64"/>
        <v>70.19999999999999</v>
      </c>
      <c r="AF166" s="48">
        <f t="shared" si="30"/>
        <v>340.2</v>
      </c>
      <c r="AG166" s="48">
        <f t="shared" si="65"/>
        <v>5.9999999999999005</v>
      </c>
      <c r="AH166" s="56"/>
      <c r="AI166" s="53"/>
    </row>
    <row r="167" spans="1:35" s="39" customFormat="1" ht="21">
      <c r="A167" s="81">
        <v>154.815</v>
      </c>
      <c r="B167" s="43" t="s">
        <v>44</v>
      </c>
      <c r="C167" s="43" t="s">
        <v>75</v>
      </c>
      <c r="D167" s="43">
        <v>2</v>
      </c>
      <c r="E167" s="40" t="s">
        <v>46</v>
      </c>
      <c r="F167" s="41">
        <v>76</v>
      </c>
      <c r="G167" s="42">
        <v>76</v>
      </c>
      <c r="H167" s="43"/>
      <c r="I167" s="44"/>
      <c r="J167" s="40">
        <v>90</v>
      </c>
      <c r="K167" s="45">
        <v>3</v>
      </c>
      <c r="L167" s="45">
        <v>0</v>
      </c>
      <c r="M167" s="45">
        <v>5</v>
      </c>
      <c r="N167" s="45"/>
      <c r="O167" s="46"/>
      <c r="P167" s="47">
        <f t="shared" si="58"/>
        <v>0.0870362988312832</v>
      </c>
      <c r="Q167" s="47">
        <f t="shared" si="59"/>
        <v>0.052136802128782224</v>
      </c>
      <c r="R167" s="47">
        <f t="shared" si="60"/>
        <v>-0.994829447880333</v>
      </c>
      <c r="S167" s="48">
        <f t="shared" si="61"/>
        <v>30.922606269927922</v>
      </c>
      <c r="T167" s="48">
        <f t="shared" si="57"/>
        <v>-84.17685049823567</v>
      </c>
      <c r="U167" s="49">
        <f t="shared" si="62"/>
        <v>30.922606269927922</v>
      </c>
      <c r="V167" s="48">
        <f t="shared" si="22"/>
        <v>300.92260626992794</v>
      </c>
      <c r="W167" s="50">
        <f t="shared" si="63"/>
        <v>5.823149501764334</v>
      </c>
      <c r="X167" s="51"/>
      <c r="Y167" s="52"/>
      <c r="Z167" s="53"/>
      <c r="AA167" s="40">
        <v>0</v>
      </c>
      <c r="AB167" s="43">
        <v>99</v>
      </c>
      <c r="AC167" s="54">
        <v>115</v>
      </c>
      <c r="AD167" s="55">
        <v>-21.4</v>
      </c>
      <c r="AE167" s="49">
        <f t="shared" si="64"/>
        <v>95.92260626992793</v>
      </c>
      <c r="AF167" s="48">
        <f t="shared" si="30"/>
        <v>5.922606269927925</v>
      </c>
      <c r="AG167" s="48">
        <f t="shared" si="65"/>
        <v>5.823149501764334</v>
      </c>
      <c r="AH167" s="56"/>
      <c r="AI167" s="53"/>
    </row>
    <row r="168" spans="1:35" s="39" customFormat="1" ht="12.75">
      <c r="A168" s="81">
        <v>155.575</v>
      </c>
      <c r="B168" s="43" t="s">
        <v>44</v>
      </c>
      <c r="C168" s="43" t="s">
        <v>75</v>
      </c>
      <c r="D168" s="43">
        <v>4</v>
      </c>
      <c r="E168" s="40" t="s">
        <v>46</v>
      </c>
      <c r="F168" s="41">
        <v>19.5</v>
      </c>
      <c r="G168" s="42">
        <v>19.5</v>
      </c>
      <c r="H168" s="43"/>
      <c r="I168" s="44"/>
      <c r="J168" s="40">
        <v>90</v>
      </c>
      <c r="K168" s="45">
        <v>0</v>
      </c>
      <c r="L168" s="45">
        <v>0</v>
      </c>
      <c r="M168" s="45">
        <v>2</v>
      </c>
      <c r="N168" s="45"/>
      <c r="O168" s="46"/>
      <c r="P168" s="47">
        <f t="shared" si="58"/>
        <v>0.03489949670250097</v>
      </c>
      <c r="Q168" s="47">
        <f t="shared" si="59"/>
        <v>-2.136977846428571E-18</v>
      </c>
      <c r="R168" s="47">
        <f t="shared" si="60"/>
        <v>-0.9993908270190958</v>
      </c>
      <c r="S168" s="48">
        <f t="shared" si="61"/>
        <v>360</v>
      </c>
      <c r="T168" s="48">
        <f t="shared" si="57"/>
        <v>-88.00000000000024</v>
      </c>
      <c r="U168" s="49">
        <f t="shared" si="62"/>
        <v>360</v>
      </c>
      <c r="V168" s="48">
        <f t="shared" si="22"/>
        <v>270</v>
      </c>
      <c r="W168" s="50">
        <f t="shared" si="63"/>
        <v>1.9999999999997584</v>
      </c>
      <c r="X168" s="51"/>
      <c r="Y168" s="52"/>
      <c r="Z168" s="53"/>
      <c r="AA168" s="40">
        <v>0</v>
      </c>
      <c r="AB168" s="43">
        <v>80</v>
      </c>
      <c r="AC168" s="54">
        <v>118.1</v>
      </c>
      <c r="AD168" s="55">
        <v>-34.7</v>
      </c>
      <c r="AE168" s="49">
        <f t="shared" si="64"/>
        <v>61.900000000000006</v>
      </c>
      <c r="AF168" s="48">
        <f>IF(AE168-90&lt;0,AE168+270,AE168-90)</f>
        <v>331.9</v>
      </c>
      <c r="AG168" s="48">
        <f t="shared" si="65"/>
        <v>1.9999999999997584</v>
      </c>
      <c r="AH168" s="56"/>
      <c r="AI168" s="53"/>
    </row>
    <row r="169" spans="1:35" s="39" customFormat="1" ht="12.75">
      <c r="A169" s="81">
        <v>155.8</v>
      </c>
      <c r="B169" s="43" t="s">
        <v>44</v>
      </c>
      <c r="C169" s="43" t="s">
        <v>75</v>
      </c>
      <c r="D169" s="43">
        <v>4</v>
      </c>
      <c r="E169" s="40" t="s">
        <v>46</v>
      </c>
      <c r="F169" s="41">
        <v>42</v>
      </c>
      <c r="G169" s="42">
        <v>42</v>
      </c>
      <c r="H169" s="43"/>
      <c r="I169" s="44"/>
      <c r="J169" s="40">
        <v>90</v>
      </c>
      <c r="K169" s="45">
        <v>0</v>
      </c>
      <c r="L169" s="45">
        <v>0</v>
      </c>
      <c r="M169" s="45">
        <v>2</v>
      </c>
      <c r="N169" s="45"/>
      <c r="O169" s="46"/>
      <c r="P169" s="47">
        <f t="shared" si="58"/>
        <v>0.03489949670250097</v>
      </c>
      <c r="Q169" s="47">
        <f t="shared" si="59"/>
        <v>-2.136977846428571E-18</v>
      </c>
      <c r="R169" s="47">
        <f t="shared" si="60"/>
        <v>-0.9993908270190958</v>
      </c>
      <c r="S169" s="48">
        <f t="shared" si="61"/>
        <v>360</v>
      </c>
      <c r="T169" s="48">
        <f t="shared" si="57"/>
        <v>-88.00000000000024</v>
      </c>
      <c r="U169" s="49">
        <f t="shared" si="62"/>
        <v>360</v>
      </c>
      <c r="V169" s="48">
        <f t="shared" si="22"/>
        <v>270</v>
      </c>
      <c r="W169" s="50">
        <f t="shared" si="63"/>
        <v>1.9999999999997584</v>
      </c>
      <c r="X169" s="51"/>
      <c r="Y169" s="52"/>
      <c r="Z169" s="53"/>
      <c r="AA169" s="40">
        <v>0</v>
      </c>
      <c r="AB169" s="43">
        <v>80</v>
      </c>
      <c r="AC169" s="54">
        <v>118.5</v>
      </c>
      <c r="AD169" s="55">
        <v>9.5</v>
      </c>
      <c r="AE169" s="49">
        <f t="shared" si="64"/>
        <v>241.5</v>
      </c>
      <c r="AF169" s="48">
        <f>IF(AE169-90&lt;0,AE169+270,AE169-90)</f>
        <v>151.5</v>
      </c>
      <c r="AG169" s="48">
        <f t="shared" si="65"/>
        <v>1.9999999999997584</v>
      </c>
      <c r="AH169" s="56"/>
      <c r="AI169" s="53"/>
    </row>
    <row r="170" spans="1:35" s="39" customFormat="1" ht="21">
      <c r="A170" s="81">
        <v>156.54</v>
      </c>
      <c r="B170" s="43" t="s">
        <v>44</v>
      </c>
      <c r="C170" s="43" t="s">
        <v>75</v>
      </c>
      <c r="D170" s="43">
        <v>4</v>
      </c>
      <c r="E170" s="40" t="s">
        <v>46</v>
      </c>
      <c r="F170" s="41">
        <v>116</v>
      </c>
      <c r="G170" s="42">
        <v>116</v>
      </c>
      <c r="H170" s="43"/>
      <c r="I170" s="44"/>
      <c r="J170" s="40">
        <v>90</v>
      </c>
      <c r="K170" s="45">
        <v>0</v>
      </c>
      <c r="L170" s="45">
        <v>0</v>
      </c>
      <c r="M170" s="45">
        <v>8</v>
      </c>
      <c r="N170" s="45"/>
      <c r="O170" s="46"/>
      <c r="P170" s="47">
        <f t="shared" si="58"/>
        <v>0.13917310096006544</v>
      </c>
      <c r="Q170" s="47">
        <f t="shared" si="59"/>
        <v>-8.521894630907778E-18</v>
      </c>
      <c r="R170" s="47">
        <f t="shared" si="60"/>
        <v>-0.9902680687415704</v>
      </c>
      <c r="S170" s="48">
        <f t="shared" si="61"/>
        <v>360</v>
      </c>
      <c r="T170" s="48">
        <f t="shared" si="57"/>
        <v>-82.00000000000001</v>
      </c>
      <c r="U170" s="49">
        <f t="shared" si="62"/>
        <v>360</v>
      </c>
      <c r="V170" s="48">
        <f t="shared" si="22"/>
        <v>270</v>
      </c>
      <c r="W170" s="50">
        <f t="shared" si="63"/>
        <v>7.999999999999986</v>
      </c>
      <c r="X170" s="51"/>
      <c r="Y170" s="52"/>
      <c r="Z170" s="53"/>
      <c r="AA170" s="40">
        <v>105</v>
      </c>
      <c r="AB170" s="43">
        <v>132</v>
      </c>
      <c r="AC170" s="54">
        <v>119.2</v>
      </c>
      <c r="AD170" s="55">
        <v>-23.3</v>
      </c>
      <c r="AE170" s="49">
        <f t="shared" si="64"/>
        <v>60.80000000000001</v>
      </c>
      <c r="AF170" s="48">
        <f>IF(AE170-90&lt;0,AE170+270,AE170-90)</f>
        <v>330.8</v>
      </c>
      <c r="AG170" s="48">
        <f t="shared" si="65"/>
        <v>7.999999999999986</v>
      </c>
      <c r="AH170" s="56"/>
      <c r="AI170" s="53"/>
    </row>
    <row r="171" spans="1:35" s="39" customFormat="1" ht="12.75">
      <c r="A171" s="81">
        <v>156.62</v>
      </c>
      <c r="B171" s="43" t="s">
        <v>44</v>
      </c>
      <c r="C171" s="43" t="s">
        <v>75</v>
      </c>
      <c r="D171" s="43">
        <v>4</v>
      </c>
      <c r="E171" s="40" t="s">
        <v>46</v>
      </c>
      <c r="F171" s="41">
        <v>124</v>
      </c>
      <c r="G171" s="42">
        <v>124</v>
      </c>
      <c r="H171" s="43"/>
      <c r="I171" s="44"/>
      <c r="J171" s="40">
        <v>90</v>
      </c>
      <c r="K171" s="45">
        <v>0</v>
      </c>
      <c r="L171" s="45">
        <v>0</v>
      </c>
      <c r="M171" s="45">
        <v>8</v>
      </c>
      <c r="N171" s="45"/>
      <c r="O171" s="46"/>
      <c r="P171" s="47">
        <f t="shared" si="58"/>
        <v>0.13917310096006544</v>
      </c>
      <c r="Q171" s="47">
        <f t="shared" si="59"/>
        <v>-8.521894630907778E-18</v>
      </c>
      <c r="R171" s="47">
        <f t="shared" si="60"/>
        <v>-0.9902680687415704</v>
      </c>
      <c r="S171" s="48">
        <f t="shared" si="61"/>
        <v>360</v>
      </c>
      <c r="T171" s="48">
        <f t="shared" si="57"/>
        <v>-82.00000000000001</v>
      </c>
      <c r="U171" s="49">
        <f t="shared" si="62"/>
        <v>360</v>
      </c>
      <c r="V171" s="48">
        <f t="shared" si="22"/>
        <v>270</v>
      </c>
      <c r="W171" s="50">
        <f t="shared" si="63"/>
        <v>7.999999999999986</v>
      </c>
      <c r="X171" s="51"/>
      <c r="Y171" s="52"/>
      <c r="Z171" s="53"/>
      <c r="AA171" s="40">
        <v>105</v>
      </c>
      <c r="AB171" s="43">
        <v>132</v>
      </c>
      <c r="AC171" s="54">
        <v>115.9</v>
      </c>
      <c r="AD171" s="55">
        <v>-17.4</v>
      </c>
      <c r="AE171" s="49">
        <f t="shared" si="64"/>
        <v>64.1</v>
      </c>
      <c r="AF171" s="48">
        <f aca="true" t="shared" si="66" ref="AF171:AF230">IF(AE171-90&lt;0,AE171+270,AE171-90)</f>
        <v>334.1</v>
      </c>
      <c r="AG171" s="48">
        <f t="shared" si="65"/>
        <v>7.999999999999986</v>
      </c>
      <c r="AH171" s="56"/>
      <c r="AI171" s="53"/>
    </row>
    <row r="172" spans="1:35" s="39" customFormat="1" ht="21">
      <c r="A172" s="81">
        <v>156.895</v>
      </c>
      <c r="B172" s="43" t="s">
        <v>44</v>
      </c>
      <c r="C172" s="43" t="s">
        <v>75</v>
      </c>
      <c r="D172" s="43">
        <v>5</v>
      </c>
      <c r="E172" s="40" t="s">
        <v>46</v>
      </c>
      <c r="F172" s="41">
        <v>19</v>
      </c>
      <c r="G172" s="42">
        <v>19</v>
      </c>
      <c r="H172" s="43"/>
      <c r="I172" s="44"/>
      <c r="J172" s="40">
        <v>90</v>
      </c>
      <c r="K172" s="45">
        <v>4</v>
      </c>
      <c r="L172" s="45">
        <v>0</v>
      </c>
      <c r="M172" s="45">
        <v>1</v>
      </c>
      <c r="N172" s="45"/>
      <c r="O172" s="46"/>
      <c r="P172" s="47">
        <f t="shared" si="58"/>
        <v>0.01740989325235717</v>
      </c>
      <c r="Q172" s="47">
        <f t="shared" si="59"/>
        <v>0.06974584949530101</v>
      </c>
      <c r="R172" s="47">
        <f t="shared" si="60"/>
        <v>-0.9974121164231596</v>
      </c>
      <c r="S172" s="48">
        <f t="shared" si="61"/>
        <v>75.98430083594647</v>
      </c>
      <c r="T172" s="48">
        <f t="shared" si="57"/>
        <v>-85.87768053918494</v>
      </c>
      <c r="U172" s="49">
        <f t="shared" si="62"/>
        <v>75.98430083594647</v>
      </c>
      <c r="V172" s="48">
        <f aca="true" t="shared" si="67" ref="V172:V231">IF(U172-90&lt;0,U172+270,U172-90)</f>
        <v>345.98430083594644</v>
      </c>
      <c r="W172" s="50">
        <f t="shared" si="63"/>
        <v>4.1223194608150635</v>
      </c>
      <c r="X172" s="51"/>
      <c r="Y172" s="52"/>
      <c r="Z172" s="53"/>
      <c r="AA172" s="40">
        <v>0</v>
      </c>
      <c r="AB172" s="43">
        <v>20</v>
      </c>
      <c r="AC172" s="54">
        <v>111.9</v>
      </c>
      <c r="AD172" s="55">
        <v>-27.2</v>
      </c>
      <c r="AE172" s="49">
        <f t="shared" si="64"/>
        <v>144.08430083594646</v>
      </c>
      <c r="AF172" s="48">
        <f t="shared" si="66"/>
        <v>54.084300835946465</v>
      </c>
      <c r="AG172" s="48">
        <f t="shared" si="65"/>
        <v>4.1223194608150635</v>
      </c>
      <c r="AH172" s="56"/>
      <c r="AI172" s="53"/>
    </row>
    <row r="173" spans="1:35" s="39" customFormat="1" ht="21">
      <c r="A173" s="81">
        <v>159.6</v>
      </c>
      <c r="B173" s="43" t="s">
        <v>44</v>
      </c>
      <c r="C173" s="43" t="s">
        <v>76</v>
      </c>
      <c r="D173" s="43">
        <v>1</v>
      </c>
      <c r="E173" s="40" t="s">
        <v>46</v>
      </c>
      <c r="F173" s="41">
        <v>87</v>
      </c>
      <c r="G173" s="42">
        <v>88</v>
      </c>
      <c r="H173" s="43"/>
      <c r="I173" s="44"/>
      <c r="J173" s="40">
        <v>90</v>
      </c>
      <c r="K173" s="45">
        <v>3</v>
      </c>
      <c r="L173" s="45">
        <v>0</v>
      </c>
      <c r="M173" s="45">
        <v>1</v>
      </c>
      <c r="N173" s="45"/>
      <c r="O173" s="46"/>
      <c r="P173" s="47">
        <f t="shared" si="58"/>
        <v>0.017428488520812163</v>
      </c>
      <c r="Q173" s="47">
        <f t="shared" si="59"/>
        <v>0.05232798522331313</v>
      </c>
      <c r="R173" s="47">
        <f t="shared" si="60"/>
        <v>-0.9984774386394599</v>
      </c>
      <c r="S173" s="48">
        <f t="shared" si="61"/>
        <v>71.57901920027497</v>
      </c>
      <c r="T173" s="48">
        <f t="shared" si="57"/>
        <v>-86.83829951329471</v>
      </c>
      <c r="U173" s="49">
        <f t="shared" si="62"/>
        <v>71.57901920027497</v>
      </c>
      <c r="V173" s="48">
        <f t="shared" si="67"/>
        <v>341.57901920027496</v>
      </c>
      <c r="W173" s="50">
        <f t="shared" si="63"/>
        <v>3.1617004867052856</v>
      </c>
      <c r="X173" s="51"/>
      <c r="Y173" s="52"/>
      <c r="Z173" s="53"/>
      <c r="AA173" s="40">
        <v>0</v>
      </c>
      <c r="AB173" s="43">
        <v>140</v>
      </c>
      <c r="AC173" s="54">
        <v>67.4</v>
      </c>
      <c r="AD173" s="55">
        <v>-55.3</v>
      </c>
      <c r="AE173" s="49">
        <f t="shared" si="64"/>
        <v>184.17901920027498</v>
      </c>
      <c r="AF173" s="48">
        <f t="shared" si="66"/>
        <v>94.17901920027498</v>
      </c>
      <c r="AG173" s="48">
        <f t="shared" si="65"/>
        <v>3.1617004867052856</v>
      </c>
      <c r="AH173" s="56"/>
      <c r="AI173" s="53"/>
    </row>
    <row r="174" spans="1:35" s="39" customFormat="1" ht="12.75">
      <c r="A174" s="81">
        <v>161.095</v>
      </c>
      <c r="B174" s="43" t="s">
        <v>44</v>
      </c>
      <c r="C174" s="43" t="s">
        <v>76</v>
      </c>
      <c r="D174" s="43">
        <v>2</v>
      </c>
      <c r="E174" s="40" t="s">
        <v>46</v>
      </c>
      <c r="F174" s="41">
        <v>96</v>
      </c>
      <c r="G174" s="42">
        <v>96</v>
      </c>
      <c r="H174" s="43"/>
      <c r="I174" s="44"/>
      <c r="J174" s="40">
        <v>270</v>
      </c>
      <c r="K174" s="45">
        <v>3</v>
      </c>
      <c r="L174" s="45">
        <v>180</v>
      </c>
      <c r="M174" s="45">
        <v>4</v>
      </c>
      <c r="N174" s="45"/>
      <c r="O174" s="46"/>
      <c r="P174" s="47">
        <f t="shared" si="58"/>
        <v>-0.06966087492121549</v>
      </c>
      <c r="Q174" s="47">
        <f t="shared" si="59"/>
        <v>-0.052208468483931965</v>
      </c>
      <c r="R174" s="47">
        <f t="shared" si="60"/>
        <v>-0.9961969233988566</v>
      </c>
      <c r="S174" s="48">
        <f t="shared" si="61"/>
        <v>216.85031711940061</v>
      </c>
      <c r="T174" s="48">
        <f t="shared" si="57"/>
        <v>-85.00583060689412</v>
      </c>
      <c r="U174" s="49">
        <f t="shared" si="62"/>
        <v>216.85031711940061</v>
      </c>
      <c r="V174" s="48">
        <f t="shared" si="67"/>
        <v>126.85031711940061</v>
      </c>
      <c r="W174" s="50">
        <f t="shared" si="63"/>
        <v>4.994169393105878</v>
      </c>
      <c r="X174" s="51"/>
      <c r="Y174" s="52"/>
      <c r="Z174" s="53"/>
      <c r="AA174" s="40">
        <v>0</v>
      </c>
      <c r="AB174" s="43">
        <v>140</v>
      </c>
      <c r="AC174" s="54">
        <v>29.4</v>
      </c>
      <c r="AD174" s="55">
        <v>-17.9</v>
      </c>
      <c r="AE174" s="49">
        <f t="shared" si="64"/>
        <v>7.450317119400609</v>
      </c>
      <c r="AF174" s="48">
        <f t="shared" si="66"/>
        <v>277.4503171194006</v>
      </c>
      <c r="AG174" s="48">
        <f t="shared" si="65"/>
        <v>4.994169393105878</v>
      </c>
      <c r="AH174" s="56"/>
      <c r="AI174" s="53"/>
    </row>
    <row r="175" spans="1:35" s="39" customFormat="1" ht="12.75">
      <c r="A175" s="81">
        <v>163.775</v>
      </c>
      <c r="B175" s="43" t="s">
        <v>44</v>
      </c>
      <c r="C175" s="43" t="s">
        <v>76</v>
      </c>
      <c r="D175" s="43">
        <v>4</v>
      </c>
      <c r="E175" s="40" t="s">
        <v>46</v>
      </c>
      <c r="F175" s="41">
        <v>84</v>
      </c>
      <c r="G175" s="42">
        <v>84</v>
      </c>
      <c r="H175" s="43"/>
      <c r="I175" s="44"/>
      <c r="J175" s="40">
        <v>90</v>
      </c>
      <c r="K175" s="45">
        <v>1</v>
      </c>
      <c r="L175" s="45">
        <v>0</v>
      </c>
      <c r="M175" s="45">
        <v>17</v>
      </c>
      <c r="N175" s="45"/>
      <c r="O175" s="46"/>
      <c r="P175" s="47">
        <f t="shared" si="58"/>
        <v>0.29232717509597334</v>
      </c>
      <c r="Q175" s="47">
        <f t="shared" si="59"/>
        <v>0.0166898192789741</v>
      </c>
      <c r="R175" s="47">
        <f t="shared" si="60"/>
        <v>-0.9561591061167362</v>
      </c>
      <c r="S175" s="48">
        <f t="shared" si="61"/>
        <v>3.2676374576125995</v>
      </c>
      <c r="T175" s="48">
        <f t="shared" si="57"/>
        <v>-72.97391593796989</v>
      </c>
      <c r="U175" s="49">
        <f t="shared" si="62"/>
        <v>3.2676374576125995</v>
      </c>
      <c r="V175" s="48">
        <f t="shared" si="67"/>
        <v>273.2676374576126</v>
      </c>
      <c r="W175" s="50">
        <f t="shared" si="63"/>
        <v>17.026084062030108</v>
      </c>
      <c r="X175" s="51"/>
      <c r="Y175" s="52"/>
      <c r="Z175" s="53"/>
      <c r="AA175" s="40">
        <v>0</v>
      </c>
      <c r="AB175" s="43">
        <v>112</v>
      </c>
      <c r="AC175" s="54">
        <v>60.1</v>
      </c>
      <c r="AD175" s="55">
        <v>55.6</v>
      </c>
      <c r="AE175" s="49">
        <f t="shared" si="64"/>
        <v>303.1676374576126</v>
      </c>
      <c r="AF175" s="48">
        <f t="shared" si="66"/>
        <v>213.1676374576126</v>
      </c>
      <c r="AG175" s="48">
        <f t="shared" si="65"/>
        <v>17.026084062030108</v>
      </c>
      <c r="AH175" s="56"/>
      <c r="AI175" s="53"/>
    </row>
    <row r="176" spans="1:35" s="39" customFormat="1" ht="12.75">
      <c r="A176" s="81">
        <v>169.16</v>
      </c>
      <c r="B176" s="43" t="s">
        <v>44</v>
      </c>
      <c r="C176" s="43" t="s">
        <v>77</v>
      </c>
      <c r="D176" s="43">
        <v>2</v>
      </c>
      <c r="E176" s="40" t="s">
        <v>46</v>
      </c>
      <c r="F176" s="41">
        <v>66</v>
      </c>
      <c r="G176" s="42">
        <v>66</v>
      </c>
      <c r="H176" s="43"/>
      <c r="I176" s="44"/>
      <c r="J176" s="40">
        <v>270</v>
      </c>
      <c r="K176" s="45">
        <v>6</v>
      </c>
      <c r="L176" s="45">
        <v>0</v>
      </c>
      <c r="M176" s="45">
        <v>6</v>
      </c>
      <c r="N176" s="45"/>
      <c r="O176" s="46"/>
      <c r="P176" s="47">
        <f t="shared" si="58"/>
        <v>-0.10395584540887964</v>
      </c>
      <c r="Q176" s="47">
        <f t="shared" si="59"/>
        <v>0.10395584540887966</v>
      </c>
      <c r="R176" s="47">
        <f t="shared" si="60"/>
        <v>0.9890738003669027</v>
      </c>
      <c r="S176" s="48">
        <f t="shared" si="61"/>
        <v>135</v>
      </c>
      <c r="T176" s="48">
        <f t="shared" si="57"/>
        <v>81.54546639256617</v>
      </c>
      <c r="U176" s="49">
        <f t="shared" si="62"/>
        <v>315</v>
      </c>
      <c r="V176" s="48">
        <f t="shared" si="67"/>
        <v>225</v>
      </c>
      <c r="W176" s="50">
        <f t="shared" si="63"/>
        <v>8.45453360743383</v>
      </c>
      <c r="X176" s="51"/>
      <c r="Y176" s="52"/>
      <c r="Z176" s="53"/>
      <c r="AA176" s="40">
        <v>0</v>
      </c>
      <c r="AB176" s="43">
        <v>76</v>
      </c>
      <c r="AC176" s="54">
        <v>338.7</v>
      </c>
      <c r="AD176" s="55">
        <v>-20</v>
      </c>
      <c r="AE176" s="49">
        <f t="shared" si="64"/>
        <v>156.3</v>
      </c>
      <c r="AF176" s="48">
        <f t="shared" si="66"/>
        <v>66.30000000000001</v>
      </c>
      <c r="AG176" s="48">
        <f t="shared" si="65"/>
        <v>8.45453360743383</v>
      </c>
      <c r="AH176" s="56"/>
      <c r="AI176" s="53"/>
    </row>
    <row r="177" spans="1:35" s="39" customFormat="1" ht="12.75">
      <c r="A177" s="81">
        <v>169.88</v>
      </c>
      <c r="B177" s="43" t="s">
        <v>44</v>
      </c>
      <c r="C177" s="43" t="s">
        <v>77</v>
      </c>
      <c r="D177" s="43">
        <v>3</v>
      </c>
      <c r="E177" s="40" t="s">
        <v>46</v>
      </c>
      <c r="F177" s="41">
        <v>7</v>
      </c>
      <c r="G177" s="42">
        <v>7</v>
      </c>
      <c r="H177" s="43"/>
      <c r="I177" s="44"/>
      <c r="J177" s="40">
        <v>270</v>
      </c>
      <c r="K177" s="45">
        <v>4</v>
      </c>
      <c r="L177" s="45">
        <v>180</v>
      </c>
      <c r="M177" s="45">
        <v>3</v>
      </c>
      <c r="N177" s="45"/>
      <c r="O177" s="46"/>
      <c r="P177" s="47">
        <f t="shared" si="58"/>
        <v>-0.052208468483931986</v>
      </c>
      <c r="Q177" s="47">
        <f t="shared" si="59"/>
        <v>-0.06966087492121548</v>
      </c>
      <c r="R177" s="47">
        <f t="shared" si="60"/>
        <v>-0.9961969233988566</v>
      </c>
      <c r="S177" s="48">
        <f t="shared" si="61"/>
        <v>233.14968288059936</v>
      </c>
      <c r="T177" s="48">
        <f t="shared" si="57"/>
        <v>-85.00583060689412</v>
      </c>
      <c r="U177" s="49">
        <f t="shared" si="62"/>
        <v>233.14968288059936</v>
      </c>
      <c r="V177" s="48">
        <f t="shared" si="67"/>
        <v>143.14968288059936</v>
      </c>
      <c r="W177" s="50">
        <f t="shared" si="63"/>
        <v>4.994169393105878</v>
      </c>
      <c r="X177" s="51"/>
      <c r="Y177" s="52"/>
      <c r="Z177" s="53"/>
      <c r="AA177" s="40">
        <v>0</v>
      </c>
      <c r="AB177" s="43">
        <v>130</v>
      </c>
      <c r="AC177" s="54">
        <v>262.8</v>
      </c>
      <c r="AD177" s="55">
        <v>-35.9</v>
      </c>
      <c r="AE177" s="49">
        <f t="shared" si="64"/>
        <v>150.34968288059935</v>
      </c>
      <c r="AF177" s="48">
        <f t="shared" si="66"/>
        <v>60.349682880599346</v>
      </c>
      <c r="AG177" s="48">
        <f t="shared" si="65"/>
        <v>4.994169393105878</v>
      </c>
      <c r="AH177" s="56"/>
      <c r="AI177" s="53"/>
    </row>
    <row r="178" spans="1:35" s="39" customFormat="1" ht="12.75">
      <c r="A178" s="81">
        <v>170.88</v>
      </c>
      <c r="B178" s="43" t="s">
        <v>44</v>
      </c>
      <c r="C178" s="43" t="s">
        <v>77</v>
      </c>
      <c r="D178" s="43">
        <v>3</v>
      </c>
      <c r="E178" s="40" t="s">
        <v>46</v>
      </c>
      <c r="F178" s="41">
        <v>107</v>
      </c>
      <c r="G178" s="42">
        <v>108</v>
      </c>
      <c r="H178" s="43"/>
      <c r="I178" s="44"/>
      <c r="J178" s="40">
        <v>90</v>
      </c>
      <c r="K178" s="45">
        <v>10</v>
      </c>
      <c r="L178" s="45">
        <v>180</v>
      </c>
      <c r="M178" s="45">
        <v>4</v>
      </c>
      <c r="N178" s="45"/>
      <c r="O178" s="46"/>
      <c r="P178" s="47">
        <f t="shared" si="58"/>
        <v>0.0686967161660071</v>
      </c>
      <c r="Q178" s="47">
        <f t="shared" si="59"/>
        <v>-0.17322517943366056</v>
      </c>
      <c r="R178" s="47">
        <f t="shared" si="60"/>
        <v>0.9824088108221348</v>
      </c>
      <c r="S178" s="48">
        <f t="shared" si="61"/>
        <v>291.6320222507836</v>
      </c>
      <c r="T178" s="48">
        <f t="shared" si="57"/>
        <v>79.25937103879266</v>
      </c>
      <c r="U178" s="49">
        <f t="shared" si="62"/>
        <v>111.63202225078362</v>
      </c>
      <c r="V178" s="48">
        <f t="shared" si="67"/>
        <v>21.63202225078362</v>
      </c>
      <c r="W178" s="50">
        <f t="shared" si="63"/>
        <v>10.740628961207335</v>
      </c>
      <c r="X178" s="51"/>
      <c r="Y178" s="52"/>
      <c r="Z178" s="53"/>
      <c r="AA178" s="40">
        <v>0</v>
      </c>
      <c r="AB178" s="43">
        <v>130</v>
      </c>
      <c r="AC178" s="54">
        <v>342.4</v>
      </c>
      <c r="AD178" s="55">
        <v>-4.2</v>
      </c>
      <c r="AE178" s="49">
        <f t="shared" si="64"/>
        <v>309.23202225078364</v>
      </c>
      <c r="AF178" s="48">
        <f t="shared" si="66"/>
        <v>219.23202225078364</v>
      </c>
      <c r="AG178" s="48">
        <f t="shared" si="65"/>
        <v>10.740628961207335</v>
      </c>
      <c r="AH178" s="56"/>
      <c r="AI178" s="53"/>
    </row>
    <row r="179" spans="1:35" s="39" customFormat="1" ht="12.75">
      <c r="A179" s="81">
        <v>171.515</v>
      </c>
      <c r="B179" s="43" t="s">
        <v>44</v>
      </c>
      <c r="C179" s="43" t="s">
        <v>77</v>
      </c>
      <c r="D179" s="43">
        <v>4</v>
      </c>
      <c r="E179" s="40" t="s">
        <v>47</v>
      </c>
      <c r="F179" s="41">
        <v>40</v>
      </c>
      <c r="G179" s="42">
        <v>51</v>
      </c>
      <c r="H179" s="43"/>
      <c r="I179" s="44"/>
      <c r="J179" s="40">
        <v>90</v>
      </c>
      <c r="K179" s="45">
        <v>70</v>
      </c>
      <c r="L179" s="45">
        <v>330</v>
      </c>
      <c r="M179" s="45">
        <v>0</v>
      </c>
      <c r="N179" s="45"/>
      <c r="O179" s="46"/>
      <c r="P179" s="47">
        <f t="shared" si="58"/>
        <v>0.4698463103929546</v>
      </c>
      <c r="Q179" s="47">
        <f t="shared" si="59"/>
        <v>0.8137976813493734</v>
      </c>
      <c r="R179" s="47">
        <f t="shared" si="60"/>
        <v>-0.29619813272602386</v>
      </c>
      <c r="S179" s="48">
        <f t="shared" si="61"/>
        <v>59.99999999999997</v>
      </c>
      <c r="T179" s="48">
        <f t="shared" si="57"/>
        <v>-17.49524075699977</v>
      </c>
      <c r="U179" s="49">
        <f t="shared" si="62"/>
        <v>59.99999999999997</v>
      </c>
      <c r="V179" s="48">
        <f t="shared" si="67"/>
        <v>330</v>
      </c>
      <c r="W179" s="50">
        <f t="shared" si="63"/>
        <v>72.50475924300022</v>
      </c>
      <c r="X179" s="51"/>
      <c r="Y179" s="52"/>
      <c r="Z179" s="53"/>
      <c r="AA179" s="40">
        <v>0</v>
      </c>
      <c r="AB179" s="43">
        <v>137</v>
      </c>
      <c r="AC179" s="54">
        <v>129.5</v>
      </c>
      <c r="AD179" s="55">
        <v>52.6</v>
      </c>
      <c r="AE179" s="49">
        <f t="shared" si="64"/>
        <v>290.5</v>
      </c>
      <c r="AF179" s="48">
        <f t="shared" si="66"/>
        <v>200.5</v>
      </c>
      <c r="AG179" s="48">
        <f t="shared" si="65"/>
        <v>72.50475924300022</v>
      </c>
      <c r="AH179" s="56"/>
      <c r="AI179" s="53"/>
    </row>
    <row r="180" spans="1:35" s="39" customFormat="1" ht="12.75">
      <c r="A180" s="81">
        <v>171.745</v>
      </c>
      <c r="B180" s="43" t="s">
        <v>44</v>
      </c>
      <c r="C180" s="43" t="s">
        <v>77</v>
      </c>
      <c r="D180" s="43">
        <v>4</v>
      </c>
      <c r="E180" s="40" t="s">
        <v>46</v>
      </c>
      <c r="F180" s="41">
        <v>63</v>
      </c>
      <c r="G180" s="42">
        <v>63</v>
      </c>
      <c r="H180" s="43"/>
      <c r="I180" s="44"/>
      <c r="J180" s="40">
        <v>90</v>
      </c>
      <c r="K180" s="45">
        <v>2</v>
      </c>
      <c r="L180" s="45">
        <v>180</v>
      </c>
      <c r="M180" s="45">
        <v>2</v>
      </c>
      <c r="N180" s="45"/>
      <c r="O180" s="46"/>
      <c r="P180" s="47">
        <f t="shared" si="58"/>
        <v>0.034878236872062644</v>
      </c>
      <c r="Q180" s="47">
        <f t="shared" si="59"/>
        <v>-0.03487823687206265</v>
      </c>
      <c r="R180" s="47">
        <f t="shared" si="60"/>
        <v>0.9987820251299122</v>
      </c>
      <c r="S180" s="48">
        <f t="shared" si="61"/>
        <v>315</v>
      </c>
      <c r="T180" s="48">
        <f t="shared" si="57"/>
        <v>87.17272054092648</v>
      </c>
      <c r="U180" s="49">
        <f t="shared" si="62"/>
        <v>135</v>
      </c>
      <c r="V180" s="48">
        <f t="shared" si="67"/>
        <v>45</v>
      </c>
      <c r="W180" s="50">
        <f t="shared" si="63"/>
        <v>2.827279459073523</v>
      </c>
      <c r="X180" s="51"/>
      <c r="Y180" s="52"/>
      <c r="Z180" s="53"/>
      <c r="AA180" s="40">
        <v>0</v>
      </c>
      <c r="AB180" s="43">
        <v>137</v>
      </c>
      <c r="AC180" s="54">
        <v>358.9</v>
      </c>
      <c r="AD180" s="55">
        <v>35.1</v>
      </c>
      <c r="AE180" s="49">
        <f t="shared" si="64"/>
        <v>136.10000000000002</v>
      </c>
      <c r="AF180" s="48">
        <f t="shared" si="66"/>
        <v>46.10000000000002</v>
      </c>
      <c r="AG180" s="48">
        <f t="shared" si="65"/>
        <v>2.827279459073523</v>
      </c>
      <c r="AH180" s="56"/>
      <c r="AI180" s="53"/>
    </row>
    <row r="181" spans="1:35" s="39" customFormat="1" ht="12.75">
      <c r="A181" s="81">
        <v>178.66</v>
      </c>
      <c r="B181" s="43" t="s">
        <v>44</v>
      </c>
      <c r="C181" s="43" t="s">
        <v>78</v>
      </c>
      <c r="D181" s="43">
        <v>1</v>
      </c>
      <c r="E181" s="40" t="s">
        <v>46</v>
      </c>
      <c r="F181" s="41">
        <v>93</v>
      </c>
      <c r="G181" s="42">
        <v>94</v>
      </c>
      <c r="H181" s="43"/>
      <c r="I181" s="44"/>
      <c r="J181" s="40">
        <v>90</v>
      </c>
      <c r="K181" s="45">
        <v>7</v>
      </c>
      <c r="L181" s="45">
        <v>180</v>
      </c>
      <c r="M181" s="45">
        <v>3</v>
      </c>
      <c r="N181" s="45"/>
      <c r="O181" s="46"/>
      <c r="P181" s="47">
        <f t="shared" si="58"/>
        <v>0.0519458519614025</v>
      </c>
      <c r="Q181" s="47">
        <f t="shared" si="59"/>
        <v>-0.12170232570552782</v>
      </c>
      <c r="R181" s="47">
        <f t="shared" si="60"/>
        <v>0.991185901636016</v>
      </c>
      <c r="S181" s="48">
        <f t="shared" si="61"/>
        <v>293.1141033793656</v>
      </c>
      <c r="T181" s="48">
        <f t="shared" si="57"/>
        <v>82.39589554630736</v>
      </c>
      <c r="U181" s="49">
        <f t="shared" si="62"/>
        <v>113.11410337936559</v>
      </c>
      <c r="V181" s="48">
        <f t="shared" si="67"/>
        <v>23.114103379365588</v>
      </c>
      <c r="W181" s="50">
        <f t="shared" si="63"/>
        <v>7.604104453692642</v>
      </c>
      <c r="X181" s="51"/>
      <c r="Y181" s="52"/>
      <c r="Z181" s="53"/>
      <c r="AA181" s="40">
        <v>0</v>
      </c>
      <c r="AB181" s="43">
        <v>127</v>
      </c>
      <c r="AC181" s="54">
        <v>54</v>
      </c>
      <c r="AD181" s="55">
        <v>-47.6</v>
      </c>
      <c r="AE181" s="49">
        <f t="shared" si="64"/>
        <v>239.1141033793656</v>
      </c>
      <c r="AF181" s="48">
        <f t="shared" si="66"/>
        <v>149.1141033793656</v>
      </c>
      <c r="AG181" s="48">
        <f t="shared" si="65"/>
        <v>7.604104453692642</v>
      </c>
      <c r="AH181" s="56"/>
      <c r="AI181" s="53"/>
    </row>
    <row r="182" spans="1:35" s="39" customFormat="1" ht="21">
      <c r="A182" s="81">
        <v>179.595</v>
      </c>
      <c r="B182" s="43" t="s">
        <v>44</v>
      </c>
      <c r="C182" s="43" t="s">
        <v>78</v>
      </c>
      <c r="D182" s="43">
        <v>2</v>
      </c>
      <c r="E182" s="40" t="s">
        <v>46</v>
      </c>
      <c r="F182" s="41">
        <v>56</v>
      </c>
      <c r="G182" s="42">
        <v>56</v>
      </c>
      <c r="H182" s="43"/>
      <c r="I182" s="44"/>
      <c r="J182" s="40">
        <v>90</v>
      </c>
      <c r="K182" s="45">
        <v>5</v>
      </c>
      <c r="L182" s="45">
        <v>0</v>
      </c>
      <c r="M182" s="45">
        <v>1</v>
      </c>
      <c r="N182" s="45"/>
      <c r="O182" s="46"/>
      <c r="P182" s="47">
        <f t="shared" si="58"/>
        <v>0.017385994761764084</v>
      </c>
      <c r="Q182" s="47">
        <f t="shared" si="59"/>
        <v>0.08714246850588939</v>
      </c>
      <c r="R182" s="47">
        <f t="shared" si="60"/>
        <v>-0.9960429728140489</v>
      </c>
      <c r="S182" s="48">
        <f t="shared" si="61"/>
        <v>78.71693817947002</v>
      </c>
      <c r="T182" s="48">
        <f t="shared" si="57"/>
        <v>-84.90197245232014</v>
      </c>
      <c r="U182" s="49">
        <f t="shared" si="62"/>
        <v>78.71693817947002</v>
      </c>
      <c r="V182" s="48">
        <f t="shared" si="67"/>
        <v>348.71693817947005</v>
      </c>
      <c r="W182" s="50">
        <f t="shared" si="63"/>
        <v>5.098027547679862</v>
      </c>
      <c r="X182" s="51"/>
      <c r="Y182" s="52"/>
      <c r="Z182" s="53"/>
      <c r="AA182" s="40">
        <v>0</v>
      </c>
      <c r="AB182" s="43">
        <v>129</v>
      </c>
      <c r="AC182" s="54">
        <v>58.8</v>
      </c>
      <c r="AD182" s="55">
        <v>-18.6</v>
      </c>
      <c r="AE182" s="49">
        <f t="shared" si="64"/>
        <v>199.91693817947004</v>
      </c>
      <c r="AF182" s="48">
        <f t="shared" si="66"/>
        <v>109.91693817947004</v>
      </c>
      <c r="AG182" s="48">
        <f t="shared" si="65"/>
        <v>5.098027547679862</v>
      </c>
      <c r="AH182" s="56"/>
      <c r="AI182" s="53"/>
    </row>
    <row r="183" spans="1:35" s="39" customFormat="1" ht="12.75">
      <c r="A183" s="81">
        <v>180.87</v>
      </c>
      <c r="B183" s="43" t="s">
        <v>44</v>
      </c>
      <c r="C183" s="43" t="s">
        <v>78</v>
      </c>
      <c r="D183" s="43">
        <v>3</v>
      </c>
      <c r="E183" s="40" t="s">
        <v>46</v>
      </c>
      <c r="F183" s="41">
        <v>52</v>
      </c>
      <c r="G183" s="42">
        <v>53</v>
      </c>
      <c r="H183" s="43"/>
      <c r="I183" s="44"/>
      <c r="J183" s="40">
        <v>270</v>
      </c>
      <c r="K183" s="45">
        <v>4</v>
      </c>
      <c r="L183" s="45">
        <v>180</v>
      </c>
      <c r="M183" s="45">
        <v>3</v>
      </c>
      <c r="N183" s="45"/>
      <c r="O183" s="46"/>
      <c r="P183" s="47">
        <f t="shared" si="58"/>
        <v>-0.052208468483931986</v>
      </c>
      <c r="Q183" s="47">
        <f t="shared" si="59"/>
        <v>-0.06966087492121548</v>
      </c>
      <c r="R183" s="47">
        <f t="shared" si="60"/>
        <v>-0.9961969233988566</v>
      </c>
      <c r="S183" s="48">
        <f t="shared" si="61"/>
        <v>233.14968288059936</v>
      </c>
      <c r="T183" s="48">
        <f t="shared" si="57"/>
        <v>-85.00583060689412</v>
      </c>
      <c r="U183" s="49">
        <f t="shared" si="62"/>
        <v>233.14968288059936</v>
      </c>
      <c r="V183" s="48">
        <f t="shared" si="67"/>
        <v>143.14968288059936</v>
      </c>
      <c r="W183" s="50">
        <f t="shared" si="63"/>
        <v>4.994169393105878</v>
      </c>
      <c r="X183" s="51"/>
      <c r="Y183" s="52"/>
      <c r="Z183" s="53"/>
      <c r="AA183" s="40">
        <v>42</v>
      </c>
      <c r="AB183" s="43">
        <v>131</v>
      </c>
      <c r="AC183" s="54">
        <v>64.9</v>
      </c>
      <c r="AD183" s="55">
        <v>-27</v>
      </c>
      <c r="AE183" s="49">
        <f t="shared" si="64"/>
        <v>348.2496828805994</v>
      </c>
      <c r="AF183" s="48">
        <f t="shared" si="66"/>
        <v>258.2496828805994</v>
      </c>
      <c r="AG183" s="48">
        <f t="shared" si="65"/>
        <v>4.994169393105878</v>
      </c>
      <c r="AH183" s="56"/>
      <c r="AI183" s="53"/>
    </row>
    <row r="184" spans="1:35" s="39" customFormat="1" ht="12.75">
      <c r="A184" s="81">
        <v>181.36</v>
      </c>
      <c r="B184" s="43" t="s">
        <v>44</v>
      </c>
      <c r="C184" s="43" t="s">
        <v>78</v>
      </c>
      <c r="D184" s="43">
        <v>3</v>
      </c>
      <c r="E184" s="40" t="s">
        <v>46</v>
      </c>
      <c r="F184" s="41">
        <v>101</v>
      </c>
      <c r="G184" s="42">
        <v>102</v>
      </c>
      <c r="H184" s="43"/>
      <c r="I184" s="44"/>
      <c r="J184" s="40">
        <v>90</v>
      </c>
      <c r="K184" s="45">
        <v>4</v>
      </c>
      <c r="L184" s="45">
        <v>0</v>
      </c>
      <c r="M184" s="45">
        <v>1</v>
      </c>
      <c r="N184" s="45"/>
      <c r="O184" s="46"/>
      <c r="P184" s="47">
        <f t="shared" si="58"/>
        <v>0.01740989325235717</v>
      </c>
      <c r="Q184" s="47">
        <f t="shared" si="59"/>
        <v>0.06974584949530101</v>
      </c>
      <c r="R184" s="47">
        <f t="shared" si="60"/>
        <v>-0.9974121164231596</v>
      </c>
      <c r="S184" s="48">
        <f t="shared" si="61"/>
        <v>75.98430083594647</v>
      </c>
      <c r="T184" s="48">
        <f t="shared" si="57"/>
        <v>-85.87768053918494</v>
      </c>
      <c r="U184" s="49">
        <f t="shared" si="62"/>
        <v>75.98430083594647</v>
      </c>
      <c r="V184" s="48">
        <f t="shared" si="67"/>
        <v>345.98430083594644</v>
      </c>
      <c r="W184" s="50">
        <f t="shared" si="63"/>
        <v>4.1223194608150635</v>
      </c>
      <c r="X184" s="51"/>
      <c r="Y184" s="52"/>
      <c r="Z184" s="53"/>
      <c r="AA184" s="40">
        <v>42</v>
      </c>
      <c r="AB184" s="43">
        <v>131</v>
      </c>
      <c r="AC184" s="54">
        <v>51.9</v>
      </c>
      <c r="AD184" s="55">
        <v>-34.1</v>
      </c>
      <c r="AE184" s="49">
        <f t="shared" si="64"/>
        <v>204.08430083594646</v>
      </c>
      <c r="AF184" s="48">
        <f t="shared" si="66"/>
        <v>114.08430083594646</v>
      </c>
      <c r="AG184" s="48">
        <f t="shared" si="65"/>
        <v>4.1223194608150635</v>
      </c>
      <c r="AH184" s="56"/>
      <c r="AI184" s="53"/>
    </row>
    <row r="185" spans="1:35" s="39" customFormat="1" ht="12.75">
      <c r="A185" s="81">
        <v>181.695</v>
      </c>
      <c r="B185" s="43" t="s">
        <v>44</v>
      </c>
      <c r="C185" s="43" t="s">
        <v>78</v>
      </c>
      <c r="D185" s="43">
        <v>4</v>
      </c>
      <c r="E185" s="40" t="s">
        <v>46</v>
      </c>
      <c r="F185" s="41">
        <v>3</v>
      </c>
      <c r="G185" s="42">
        <v>3</v>
      </c>
      <c r="H185" s="43"/>
      <c r="I185" s="44"/>
      <c r="J185" s="40">
        <v>90</v>
      </c>
      <c r="K185" s="45">
        <v>8</v>
      </c>
      <c r="L185" s="45">
        <v>180</v>
      </c>
      <c r="M185" s="45">
        <v>5</v>
      </c>
      <c r="N185" s="45"/>
      <c r="O185" s="46"/>
      <c r="P185" s="47">
        <f t="shared" si="58"/>
        <v>0.08630754905046056</v>
      </c>
      <c r="Q185" s="47">
        <f t="shared" si="59"/>
        <v>-0.1386435052934044</v>
      </c>
      <c r="R185" s="47">
        <f t="shared" si="60"/>
        <v>0.9864997997699047</v>
      </c>
      <c r="S185" s="48">
        <f t="shared" si="61"/>
        <v>301.9028496622962</v>
      </c>
      <c r="T185" s="48">
        <f t="shared" si="57"/>
        <v>80.60007656802671</v>
      </c>
      <c r="U185" s="49">
        <f t="shared" si="62"/>
        <v>121.9028496622962</v>
      </c>
      <c r="V185" s="48">
        <f t="shared" si="67"/>
        <v>31.902849662296205</v>
      </c>
      <c r="W185" s="50">
        <f t="shared" si="63"/>
        <v>9.399923431973292</v>
      </c>
      <c r="X185" s="51"/>
      <c r="Y185" s="52"/>
      <c r="Z185" s="53"/>
      <c r="AA185" s="40">
        <v>0</v>
      </c>
      <c r="AB185" s="43">
        <v>36</v>
      </c>
      <c r="AC185" s="54"/>
      <c r="AD185" s="55"/>
      <c r="AE185" s="49">
        <f t="shared" si="64"/>
        <v>121.9028496622962</v>
      </c>
      <c r="AF185" s="48">
        <f t="shared" si="66"/>
        <v>31.902849662296205</v>
      </c>
      <c r="AG185" s="48">
        <f t="shared" si="65"/>
        <v>9.399923431973292</v>
      </c>
      <c r="AH185" s="56"/>
      <c r="AI185" s="53"/>
    </row>
    <row r="186" spans="1:35" s="39" customFormat="1" ht="21">
      <c r="A186" s="81">
        <v>188.165</v>
      </c>
      <c r="B186" s="43" t="s">
        <v>44</v>
      </c>
      <c r="C186" s="43" t="s">
        <v>79</v>
      </c>
      <c r="D186" s="43">
        <v>2</v>
      </c>
      <c r="E186" s="40" t="s">
        <v>46</v>
      </c>
      <c r="F186" s="41">
        <v>48</v>
      </c>
      <c r="G186" s="42">
        <v>48</v>
      </c>
      <c r="H186" s="43"/>
      <c r="I186" s="44"/>
      <c r="J186" s="40">
        <v>270</v>
      </c>
      <c r="K186" s="45">
        <v>2</v>
      </c>
      <c r="L186" s="45">
        <v>0</v>
      </c>
      <c r="M186" s="45">
        <v>4</v>
      </c>
      <c r="N186" s="45"/>
      <c r="O186" s="46"/>
      <c r="P186" s="47">
        <f t="shared" si="58"/>
        <v>-0.06971397998507722</v>
      </c>
      <c r="Q186" s="47">
        <f t="shared" si="59"/>
        <v>0.03481448328257626</v>
      </c>
      <c r="R186" s="47">
        <f t="shared" si="60"/>
        <v>0.9969563611936845</v>
      </c>
      <c r="S186" s="48">
        <f t="shared" si="61"/>
        <v>153.46290360641922</v>
      </c>
      <c r="T186" s="48">
        <f t="shared" si="57"/>
        <v>85.53076266752878</v>
      </c>
      <c r="U186" s="49">
        <f t="shared" si="62"/>
        <v>333.4629036064192</v>
      </c>
      <c r="V186" s="48">
        <f t="shared" si="67"/>
        <v>243.46290360641922</v>
      </c>
      <c r="W186" s="50">
        <f t="shared" si="63"/>
        <v>4.469237332471224</v>
      </c>
      <c r="X186" s="51"/>
      <c r="Y186" s="52"/>
      <c r="Z186" s="53"/>
      <c r="AA186" s="40">
        <v>36</v>
      </c>
      <c r="AB186" s="43">
        <v>107</v>
      </c>
      <c r="AC186" s="54">
        <v>249.5</v>
      </c>
      <c r="AD186" s="55">
        <v>52.4</v>
      </c>
      <c r="AE186" s="49">
        <f t="shared" si="64"/>
        <v>83.96290360641922</v>
      </c>
      <c r="AF186" s="48">
        <f t="shared" si="66"/>
        <v>353.9629036064192</v>
      </c>
      <c r="AG186" s="48">
        <f t="shared" si="65"/>
        <v>4.469237332471224</v>
      </c>
      <c r="AH186" s="56"/>
      <c r="AI186" s="53"/>
    </row>
    <row r="187" spans="1:35" s="39" customFormat="1" ht="12.75">
      <c r="A187" s="81">
        <v>189.615</v>
      </c>
      <c r="B187" s="43" t="s">
        <v>44</v>
      </c>
      <c r="C187" s="43" t="s">
        <v>79</v>
      </c>
      <c r="D187" s="43">
        <v>3</v>
      </c>
      <c r="E187" s="40" t="s">
        <v>46</v>
      </c>
      <c r="F187" s="41">
        <v>63</v>
      </c>
      <c r="G187" s="42">
        <v>63</v>
      </c>
      <c r="H187" s="43"/>
      <c r="I187" s="44"/>
      <c r="J187" s="40">
        <v>90</v>
      </c>
      <c r="K187" s="45">
        <v>2</v>
      </c>
      <c r="L187" s="45">
        <v>0</v>
      </c>
      <c r="M187" s="45">
        <v>18</v>
      </c>
      <c r="N187" s="45"/>
      <c r="O187" s="46"/>
      <c r="P187" s="47">
        <f t="shared" si="58"/>
        <v>0.30882874957133394</v>
      </c>
      <c r="Q187" s="47">
        <f t="shared" si="59"/>
        <v>0.03319139375433475</v>
      </c>
      <c r="R187" s="47">
        <f t="shared" si="60"/>
        <v>-0.9504771583621137</v>
      </c>
      <c r="S187" s="48">
        <f t="shared" si="61"/>
        <v>6.134321688307637</v>
      </c>
      <c r="T187" s="48">
        <f t="shared" si="57"/>
        <v>-71.90308099254865</v>
      </c>
      <c r="U187" s="49">
        <f t="shared" si="62"/>
        <v>6.134321688307637</v>
      </c>
      <c r="V187" s="48">
        <f t="shared" si="67"/>
        <v>276.13432168830764</v>
      </c>
      <c r="W187" s="50">
        <f t="shared" si="63"/>
        <v>18.096919007451348</v>
      </c>
      <c r="X187" s="51"/>
      <c r="Y187" s="52"/>
      <c r="Z187" s="53"/>
      <c r="AA187" s="40">
        <v>49</v>
      </c>
      <c r="AB187" s="43">
        <v>69</v>
      </c>
      <c r="AC187" s="54">
        <v>13.3</v>
      </c>
      <c r="AD187" s="55">
        <v>71.8</v>
      </c>
      <c r="AE187" s="49">
        <f t="shared" si="64"/>
        <v>352.8343216883076</v>
      </c>
      <c r="AF187" s="48">
        <f t="shared" si="66"/>
        <v>262.8343216883076</v>
      </c>
      <c r="AG187" s="48">
        <f t="shared" si="65"/>
        <v>18.096919007451348</v>
      </c>
      <c r="AH187" s="56"/>
      <c r="AI187" s="53"/>
    </row>
    <row r="188" spans="1:35" s="39" customFormat="1" ht="21">
      <c r="A188" s="81">
        <v>190.775</v>
      </c>
      <c r="B188" s="43" t="s">
        <v>44</v>
      </c>
      <c r="C188" s="43" t="s">
        <v>79</v>
      </c>
      <c r="D188" s="43">
        <v>4</v>
      </c>
      <c r="E188" s="40" t="s">
        <v>46</v>
      </c>
      <c r="F188" s="41">
        <v>47</v>
      </c>
      <c r="G188" s="42">
        <v>47</v>
      </c>
      <c r="H188" s="43"/>
      <c r="I188" s="44"/>
      <c r="J188" s="40">
        <v>90</v>
      </c>
      <c r="K188" s="45">
        <v>3</v>
      </c>
      <c r="L188" s="45">
        <v>180</v>
      </c>
      <c r="M188" s="45">
        <v>1</v>
      </c>
      <c r="N188" s="45"/>
      <c r="O188" s="46"/>
      <c r="P188" s="47">
        <f t="shared" si="58"/>
        <v>0.017428488520812156</v>
      </c>
      <c r="Q188" s="47">
        <f t="shared" si="59"/>
        <v>-0.05232798522331313</v>
      </c>
      <c r="R188" s="47">
        <f t="shared" si="60"/>
        <v>0.9984774386394599</v>
      </c>
      <c r="S188" s="48">
        <f t="shared" si="61"/>
        <v>288.42098079972504</v>
      </c>
      <c r="T188" s="48">
        <f t="shared" si="57"/>
        <v>86.83829951329471</v>
      </c>
      <c r="U188" s="49">
        <f t="shared" si="62"/>
        <v>108.42098079972504</v>
      </c>
      <c r="V188" s="48">
        <f t="shared" si="67"/>
        <v>18.420980799725044</v>
      </c>
      <c r="W188" s="50">
        <f t="shared" si="63"/>
        <v>3.1617004867052856</v>
      </c>
      <c r="X188" s="51"/>
      <c r="Y188" s="52"/>
      <c r="Z188" s="53"/>
      <c r="AA188" s="40">
        <v>0</v>
      </c>
      <c r="AB188" s="43">
        <v>68</v>
      </c>
      <c r="AC188" s="54">
        <v>267.5</v>
      </c>
      <c r="AD188" s="55">
        <v>83.1</v>
      </c>
      <c r="AE188" s="49">
        <f t="shared" si="64"/>
        <v>200.92098079972504</v>
      </c>
      <c r="AF188" s="48">
        <f t="shared" si="66"/>
        <v>110.92098079972504</v>
      </c>
      <c r="AG188" s="48">
        <f t="shared" si="65"/>
        <v>3.1617004867052856</v>
      </c>
      <c r="AH188" s="56"/>
      <c r="AI188" s="53"/>
    </row>
    <row r="189" spans="1:35" s="39" customFormat="1" ht="12.75">
      <c r="A189" s="81">
        <v>191.405</v>
      </c>
      <c r="B189" s="43" t="s">
        <v>44</v>
      </c>
      <c r="C189" s="43" t="s">
        <v>79</v>
      </c>
      <c r="D189" s="43">
        <v>4</v>
      </c>
      <c r="E189" s="40" t="s">
        <v>46</v>
      </c>
      <c r="F189" s="41">
        <v>110</v>
      </c>
      <c r="G189" s="42">
        <v>110</v>
      </c>
      <c r="H189" s="43"/>
      <c r="I189" s="44"/>
      <c r="J189" s="40">
        <v>270</v>
      </c>
      <c r="K189" s="45">
        <v>3</v>
      </c>
      <c r="L189" s="45">
        <v>180</v>
      </c>
      <c r="M189" s="45">
        <v>3</v>
      </c>
      <c r="N189" s="45"/>
      <c r="O189" s="46"/>
      <c r="P189" s="47">
        <f t="shared" si="58"/>
        <v>-0.052264231633826735</v>
      </c>
      <c r="Q189" s="47">
        <f t="shared" si="59"/>
        <v>-0.05226423163382672</v>
      </c>
      <c r="R189" s="47">
        <f t="shared" si="60"/>
        <v>-0.9972609476841365</v>
      </c>
      <c r="S189" s="48">
        <f t="shared" si="61"/>
        <v>225</v>
      </c>
      <c r="T189" s="48">
        <f t="shared" si="57"/>
        <v>-85.76122797743554</v>
      </c>
      <c r="U189" s="49">
        <f t="shared" si="62"/>
        <v>225</v>
      </c>
      <c r="V189" s="48">
        <f t="shared" si="67"/>
        <v>135</v>
      </c>
      <c r="W189" s="50">
        <f t="shared" si="63"/>
        <v>4.238772022564461</v>
      </c>
      <c r="X189" s="51"/>
      <c r="Y189" s="52"/>
      <c r="Z189" s="53"/>
      <c r="AA189" s="40">
        <v>95</v>
      </c>
      <c r="AB189" s="43">
        <v>145</v>
      </c>
      <c r="AC189" s="54">
        <v>198.2</v>
      </c>
      <c r="AD189" s="55">
        <v>42.4</v>
      </c>
      <c r="AE189" s="49">
        <f t="shared" si="64"/>
        <v>26.80000000000001</v>
      </c>
      <c r="AF189" s="48">
        <f t="shared" si="66"/>
        <v>296.8</v>
      </c>
      <c r="AG189" s="48">
        <f t="shared" si="65"/>
        <v>4.238772022564461</v>
      </c>
      <c r="AH189" s="56"/>
      <c r="AI189" s="53"/>
    </row>
    <row r="190" spans="1:35" s="39" customFormat="1" ht="21">
      <c r="A190" s="81">
        <v>198.815</v>
      </c>
      <c r="B190" s="43" t="s">
        <v>44</v>
      </c>
      <c r="C190" s="43" t="s">
        <v>80</v>
      </c>
      <c r="D190" s="43">
        <v>3</v>
      </c>
      <c r="E190" s="40" t="s">
        <v>46</v>
      </c>
      <c r="F190" s="41">
        <v>31</v>
      </c>
      <c r="G190" s="42">
        <v>31</v>
      </c>
      <c r="H190" s="43"/>
      <c r="I190" s="44"/>
      <c r="J190" s="40">
        <v>90</v>
      </c>
      <c r="K190" s="45">
        <v>3</v>
      </c>
      <c r="L190" s="45">
        <v>180</v>
      </c>
      <c r="M190" s="45">
        <v>10</v>
      </c>
      <c r="N190" s="45"/>
      <c r="O190" s="46"/>
      <c r="P190" s="47">
        <f t="shared" si="58"/>
        <v>0.1734101988745062</v>
      </c>
      <c r="Q190" s="47">
        <f t="shared" si="59"/>
        <v>-0.051540855469358764</v>
      </c>
      <c r="R190" s="47">
        <f t="shared" si="60"/>
        <v>0.9834581082132785</v>
      </c>
      <c r="S190" s="48">
        <f t="shared" si="61"/>
        <v>343.44703546051466</v>
      </c>
      <c r="T190" s="48">
        <f t="shared" si="57"/>
        <v>79.57693581712375</v>
      </c>
      <c r="U190" s="49">
        <f t="shared" si="62"/>
        <v>163.44703546051466</v>
      </c>
      <c r="V190" s="48">
        <f t="shared" si="67"/>
        <v>73.44703546051466</v>
      </c>
      <c r="W190" s="50">
        <f t="shared" si="63"/>
        <v>10.423064182876246</v>
      </c>
      <c r="X190" s="51"/>
      <c r="Y190" s="52"/>
      <c r="Z190" s="53"/>
      <c r="AA190" s="40">
        <v>0</v>
      </c>
      <c r="AB190" s="43">
        <v>67</v>
      </c>
      <c r="AC190" s="54">
        <v>336.2</v>
      </c>
      <c r="AD190" s="55">
        <v>-22.7</v>
      </c>
      <c r="AE190" s="49">
        <f t="shared" si="64"/>
        <v>7.247035460514667</v>
      </c>
      <c r="AF190" s="48">
        <f t="shared" si="66"/>
        <v>277.24703546051467</v>
      </c>
      <c r="AG190" s="48">
        <f t="shared" si="65"/>
        <v>10.423064182876246</v>
      </c>
      <c r="AH190" s="56"/>
      <c r="AI190" s="53"/>
    </row>
    <row r="191" spans="1:35" s="39" customFormat="1" ht="12.75">
      <c r="A191" s="81">
        <v>199.34</v>
      </c>
      <c r="B191" s="43" t="s">
        <v>44</v>
      </c>
      <c r="C191" s="43" t="s">
        <v>80</v>
      </c>
      <c r="D191" s="43">
        <v>3</v>
      </c>
      <c r="E191" s="40" t="s">
        <v>46</v>
      </c>
      <c r="F191" s="41">
        <v>83.5</v>
      </c>
      <c r="G191" s="42">
        <v>83.5</v>
      </c>
      <c r="H191" s="43"/>
      <c r="I191" s="44"/>
      <c r="J191" s="40">
        <v>90</v>
      </c>
      <c r="K191" s="45">
        <v>0</v>
      </c>
      <c r="L191" s="45">
        <v>0</v>
      </c>
      <c r="M191" s="45">
        <v>2</v>
      </c>
      <c r="N191" s="45"/>
      <c r="O191" s="46"/>
      <c r="P191" s="47">
        <f t="shared" si="58"/>
        <v>0.03489949670250097</v>
      </c>
      <c r="Q191" s="47">
        <f t="shared" si="59"/>
        <v>-2.136977846428571E-18</v>
      </c>
      <c r="R191" s="47">
        <f t="shared" si="60"/>
        <v>-0.9993908270190958</v>
      </c>
      <c r="S191" s="48">
        <f t="shared" si="61"/>
        <v>360</v>
      </c>
      <c r="T191" s="48">
        <f t="shared" si="57"/>
        <v>-88.00000000000024</v>
      </c>
      <c r="U191" s="49">
        <f t="shared" si="62"/>
        <v>360</v>
      </c>
      <c r="V191" s="48">
        <f t="shared" si="67"/>
        <v>270</v>
      </c>
      <c r="W191" s="50">
        <f t="shared" si="63"/>
        <v>1.9999999999997584</v>
      </c>
      <c r="X191" s="51"/>
      <c r="Y191" s="52"/>
      <c r="Z191" s="53"/>
      <c r="AA191" s="40">
        <v>73</v>
      </c>
      <c r="AB191" s="43">
        <v>101</v>
      </c>
      <c r="AC191" s="54">
        <v>345.4</v>
      </c>
      <c r="AD191" s="55">
        <v>-19.8</v>
      </c>
      <c r="AE191" s="49">
        <f t="shared" si="64"/>
        <v>194.60000000000002</v>
      </c>
      <c r="AF191" s="48">
        <f t="shared" si="66"/>
        <v>104.60000000000002</v>
      </c>
      <c r="AG191" s="48">
        <f t="shared" si="65"/>
        <v>1.9999999999997584</v>
      </c>
      <c r="AH191" s="56"/>
      <c r="AI191" s="53"/>
    </row>
    <row r="192" spans="1:36" s="39" customFormat="1" ht="12.75">
      <c r="A192" s="81">
        <v>197.07</v>
      </c>
      <c r="B192" s="43" t="s">
        <v>44</v>
      </c>
      <c r="C192" s="43" t="s">
        <v>80</v>
      </c>
      <c r="D192" s="43">
        <v>1</v>
      </c>
      <c r="E192" s="40" t="s">
        <v>73</v>
      </c>
      <c r="F192" s="41">
        <v>34</v>
      </c>
      <c r="G192" s="42">
        <v>34</v>
      </c>
      <c r="H192" s="43"/>
      <c r="I192" s="44"/>
      <c r="J192" s="40">
        <v>90</v>
      </c>
      <c r="K192" s="45">
        <v>0</v>
      </c>
      <c r="L192" s="45">
        <v>0</v>
      </c>
      <c r="M192" s="45">
        <v>0</v>
      </c>
      <c r="N192" s="45"/>
      <c r="O192" s="46"/>
      <c r="P192" s="47">
        <f t="shared" si="58"/>
        <v>0</v>
      </c>
      <c r="Q192" s="47">
        <f t="shared" si="59"/>
        <v>0</v>
      </c>
      <c r="R192" s="47">
        <f t="shared" si="60"/>
        <v>-1</v>
      </c>
      <c r="S192" s="48">
        <f t="shared" si="61"/>
        <v>90</v>
      </c>
      <c r="T192" s="48">
        <f t="shared" si="57"/>
        <v>-90</v>
      </c>
      <c r="U192" s="49">
        <f t="shared" si="62"/>
        <v>90</v>
      </c>
      <c r="V192" s="48">
        <f t="shared" si="67"/>
        <v>0</v>
      </c>
      <c r="W192" s="50">
        <f t="shared" si="63"/>
        <v>0</v>
      </c>
      <c r="X192" s="51"/>
      <c r="Y192" s="52"/>
      <c r="Z192" s="53"/>
      <c r="AA192" s="40">
        <v>0</v>
      </c>
      <c r="AB192" s="43">
        <v>145</v>
      </c>
      <c r="AC192" s="54">
        <v>317.8</v>
      </c>
      <c r="AD192" s="55">
        <v>-27.2</v>
      </c>
      <c r="AE192" s="49">
        <f t="shared" si="64"/>
        <v>312.2</v>
      </c>
      <c r="AF192" s="48">
        <f t="shared" si="66"/>
        <v>222.2</v>
      </c>
      <c r="AG192" s="48">
        <f t="shared" si="65"/>
        <v>0</v>
      </c>
      <c r="AH192" s="56"/>
      <c r="AI192" s="53"/>
      <c r="AJ192" s="39" t="s">
        <v>85</v>
      </c>
    </row>
    <row r="193" spans="1:35" s="39" customFormat="1" ht="12.75">
      <c r="A193" s="81">
        <v>197.26</v>
      </c>
      <c r="B193" s="43" t="s">
        <v>44</v>
      </c>
      <c r="C193" s="43" t="s">
        <v>80</v>
      </c>
      <c r="D193" s="43">
        <v>1</v>
      </c>
      <c r="E193" s="40" t="s">
        <v>46</v>
      </c>
      <c r="F193" s="41">
        <v>53</v>
      </c>
      <c r="G193" s="42">
        <v>53</v>
      </c>
      <c r="H193" s="43"/>
      <c r="I193" s="44"/>
      <c r="J193" s="40">
        <v>90</v>
      </c>
      <c r="K193" s="45">
        <v>1</v>
      </c>
      <c r="L193" s="45">
        <v>180</v>
      </c>
      <c r="M193" s="45">
        <v>3</v>
      </c>
      <c r="N193" s="45"/>
      <c r="O193" s="46"/>
      <c r="P193" s="47">
        <f t="shared" si="58"/>
        <v>0.05232798522331313</v>
      </c>
      <c r="Q193" s="47">
        <f t="shared" si="59"/>
        <v>-0.017428488520812167</v>
      </c>
      <c r="R193" s="47">
        <f t="shared" si="60"/>
        <v>0.9984774386394599</v>
      </c>
      <c r="S193" s="48">
        <f t="shared" si="61"/>
        <v>341.57901920027496</v>
      </c>
      <c r="T193" s="48">
        <f t="shared" si="57"/>
        <v>86.83829951329471</v>
      </c>
      <c r="U193" s="49">
        <f t="shared" si="62"/>
        <v>161.57901920027496</v>
      </c>
      <c r="V193" s="48">
        <f t="shared" si="67"/>
        <v>71.57901920027496</v>
      </c>
      <c r="W193" s="50">
        <f t="shared" si="63"/>
        <v>3.1617004867052856</v>
      </c>
      <c r="X193" s="51"/>
      <c r="Y193" s="52"/>
      <c r="Z193" s="53"/>
      <c r="AA193" s="40">
        <v>0</v>
      </c>
      <c r="AB193" s="43">
        <v>145</v>
      </c>
      <c r="AC193" s="54">
        <v>331.1</v>
      </c>
      <c r="AD193" s="55">
        <v>-22.4</v>
      </c>
      <c r="AE193" s="49">
        <f t="shared" si="64"/>
        <v>10.479019200274934</v>
      </c>
      <c r="AF193" s="48">
        <f t="shared" si="66"/>
        <v>280.47901920027493</v>
      </c>
      <c r="AG193" s="48">
        <f t="shared" si="65"/>
        <v>3.1617004867052856</v>
      </c>
      <c r="AH193" s="56"/>
      <c r="AI193" s="53"/>
    </row>
    <row r="194" spans="1:35" s="39" customFormat="1" ht="21">
      <c r="A194" s="81">
        <v>197.86</v>
      </c>
      <c r="B194" s="43" t="s">
        <v>44</v>
      </c>
      <c r="C194" s="43" t="s">
        <v>80</v>
      </c>
      <c r="D194" s="43">
        <v>1</v>
      </c>
      <c r="E194" s="40" t="s">
        <v>46</v>
      </c>
      <c r="F194" s="41">
        <v>113</v>
      </c>
      <c r="G194" s="42">
        <v>113</v>
      </c>
      <c r="H194" s="43"/>
      <c r="I194" s="44"/>
      <c r="J194" s="40">
        <v>90</v>
      </c>
      <c r="K194" s="45">
        <v>0</v>
      </c>
      <c r="L194" s="45">
        <v>0</v>
      </c>
      <c r="M194" s="45">
        <v>5</v>
      </c>
      <c r="N194" s="45"/>
      <c r="O194" s="46"/>
      <c r="P194" s="47">
        <f t="shared" si="58"/>
        <v>0.08715574274765817</v>
      </c>
      <c r="Q194" s="47">
        <f t="shared" si="59"/>
        <v>-5.336750069161486E-18</v>
      </c>
      <c r="R194" s="47">
        <f t="shared" si="60"/>
        <v>-0.9961946980917455</v>
      </c>
      <c r="S194" s="48">
        <f t="shared" si="61"/>
        <v>360</v>
      </c>
      <c r="T194" s="48">
        <f t="shared" si="57"/>
        <v>-85</v>
      </c>
      <c r="U194" s="49">
        <f t="shared" si="62"/>
        <v>360</v>
      </c>
      <c r="V194" s="48">
        <f t="shared" si="67"/>
        <v>270</v>
      </c>
      <c r="W194" s="50">
        <f t="shared" si="63"/>
        <v>5</v>
      </c>
      <c r="X194" s="51"/>
      <c r="Y194" s="52"/>
      <c r="Z194" s="53"/>
      <c r="AA194" s="40">
        <v>0</v>
      </c>
      <c r="AB194" s="43">
        <v>145</v>
      </c>
      <c r="AC194" s="54">
        <v>303.9</v>
      </c>
      <c r="AD194" s="55">
        <v>-53</v>
      </c>
      <c r="AE194" s="49">
        <f t="shared" si="64"/>
        <v>236.10000000000002</v>
      </c>
      <c r="AF194" s="48">
        <f t="shared" si="66"/>
        <v>146.10000000000002</v>
      </c>
      <c r="AG194" s="48">
        <f t="shared" si="65"/>
        <v>5</v>
      </c>
      <c r="AH194" s="56"/>
      <c r="AI194" s="53"/>
    </row>
    <row r="195" spans="1:35" s="39" customFormat="1" ht="12.75">
      <c r="A195" s="81">
        <v>197.99</v>
      </c>
      <c r="B195" s="43" t="s">
        <v>44</v>
      </c>
      <c r="C195" s="43" t="s">
        <v>80</v>
      </c>
      <c r="D195" s="43">
        <v>1</v>
      </c>
      <c r="E195" s="40" t="s">
        <v>46</v>
      </c>
      <c r="F195" s="41">
        <v>126</v>
      </c>
      <c r="G195" s="42">
        <v>126</v>
      </c>
      <c r="H195" s="43"/>
      <c r="I195" s="44"/>
      <c r="J195" s="40">
        <v>270</v>
      </c>
      <c r="K195" s="45">
        <v>6</v>
      </c>
      <c r="L195" s="45">
        <v>0</v>
      </c>
      <c r="M195" s="45">
        <v>3</v>
      </c>
      <c r="N195" s="45"/>
      <c r="O195" s="46"/>
      <c r="P195" s="47">
        <f t="shared" si="58"/>
        <v>-0.05204925439864351</v>
      </c>
      <c r="Q195" s="47">
        <f t="shared" si="59"/>
        <v>0.10438521064158734</v>
      </c>
      <c r="R195" s="47">
        <f t="shared" si="60"/>
        <v>0.9931589376748557</v>
      </c>
      <c r="S195" s="48">
        <f t="shared" si="61"/>
        <v>116.50206973598144</v>
      </c>
      <c r="T195" s="48">
        <f t="shared" si="57"/>
        <v>83.30154702070026</v>
      </c>
      <c r="U195" s="49">
        <f t="shared" si="62"/>
        <v>296.5020697359814</v>
      </c>
      <c r="V195" s="48">
        <f t="shared" si="67"/>
        <v>206.50206973598142</v>
      </c>
      <c r="W195" s="50">
        <f t="shared" si="63"/>
        <v>6.698452979299745</v>
      </c>
      <c r="X195" s="51"/>
      <c r="Y195" s="52"/>
      <c r="Z195" s="53"/>
      <c r="AA195" s="40">
        <v>0</v>
      </c>
      <c r="AB195" s="43">
        <v>145</v>
      </c>
      <c r="AC195" s="54">
        <v>313.6</v>
      </c>
      <c r="AD195" s="55">
        <v>-37.5</v>
      </c>
      <c r="AE195" s="49">
        <f t="shared" si="64"/>
        <v>162.9020697359814</v>
      </c>
      <c r="AF195" s="48">
        <f t="shared" si="66"/>
        <v>72.9020697359814</v>
      </c>
      <c r="AG195" s="48">
        <f t="shared" si="65"/>
        <v>6.698452979299745</v>
      </c>
      <c r="AH195" s="56"/>
      <c r="AI195" s="53"/>
    </row>
    <row r="196" spans="1:35" s="39" customFormat="1" ht="12.75">
      <c r="A196" s="81">
        <v>199.92</v>
      </c>
      <c r="B196" s="43" t="s">
        <v>44</v>
      </c>
      <c r="C196" s="43" t="s">
        <v>80</v>
      </c>
      <c r="D196" s="43">
        <v>4</v>
      </c>
      <c r="E196" s="40" t="s">
        <v>46</v>
      </c>
      <c r="F196" s="41">
        <v>38</v>
      </c>
      <c r="G196" s="42">
        <v>39</v>
      </c>
      <c r="H196" s="43"/>
      <c r="I196" s="44"/>
      <c r="J196" s="40">
        <v>90</v>
      </c>
      <c r="K196" s="45">
        <v>5</v>
      </c>
      <c r="L196" s="45">
        <v>0</v>
      </c>
      <c r="M196" s="45">
        <v>6</v>
      </c>
      <c r="N196" s="45"/>
      <c r="O196" s="46"/>
      <c r="P196" s="47">
        <f t="shared" si="58"/>
        <v>0.10413070090691415</v>
      </c>
      <c r="Q196" s="47">
        <f t="shared" si="59"/>
        <v>0.08667829446963064</v>
      </c>
      <c r="R196" s="47">
        <f t="shared" si="60"/>
        <v>-0.9907374393020275</v>
      </c>
      <c r="S196" s="48">
        <f t="shared" si="61"/>
        <v>39.773964143793556</v>
      </c>
      <c r="T196" s="48">
        <f aca="true" t="shared" si="68" ref="T196:T259">ASIN(R196/SQRT(P196^2+Q196^2+R196^2))*180/PI()</f>
        <v>-82.21297801271761</v>
      </c>
      <c r="U196" s="49">
        <f t="shared" si="62"/>
        <v>39.773964143793556</v>
      </c>
      <c r="V196" s="48">
        <f t="shared" si="67"/>
        <v>309.77396414379353</v>
      </c>
      <c r="W196" s="50">
        <f t="shared" si="63"/>
        <v>7.787021987282387</v>
      </c>
      <c r="X196" s="51"/>
      <c r="Y196" s="52"/>
      <c r="Z196" s="53"/>
      <c r="AA196" s="40">
        <v>0</v>
      </c>
      <c r="AB196" s="43">
        <v>40</v>
      </c>
      <c r="AC196" s="54">
        <v>324.4</v>
      </c>
      <c r="AD196" s="55">
        <v>-34.1</v>
      </c>
      <c r="AE196" s="49">
        <f t="shared" si="64"/>
        <v>255.37396414379356</v>
      </c>
      <c r="AF196" s="48">
        <f t="shared" si="66"/>
        <v>165.37396414379356</v>
      </c>
      <c r="AG196" s="48">
        <f t="shared" si="65"/>
        <v>7.787021987282387</v>
      </c>
      <c r="AH196" s="56"/>
      <c r="AI196" s="53"/>
    </row>
    <row r="197" spans="1:35" s="39" customFormat="1" ht="21">
      <c r="A197" s="81">
        <v>200.095</v>
      </c>
      <c r="B197" s="43" t="s">
        <v>44</v>
      </c>
      <c r="C197" s="43" t="s">
        <v>80</v>
      </c>
      <c r="D197" s="43">
        <v>4</v>
      </c>
      <c r="E197" s="40" t="s">
        <v>46</v>
      </c>
      <c r="F197" s="41">
        <v>55.5</v>
      </c>
      <c r="G197" s="42">
        <v>55.5</v>
      </c>
      <c r="H197" s="43"/>
      <c r="I197" s="44"/>
      <c r="J197" s="40">
        <v>90</v>
      </c>
      <c r="K197" s="45">
        <v>1</v>
      </c>
      <c r="L197" s="45">
        <v>0</v>
      </c>
      <c r="M197" s="45">
        <v>5</v>
      </c>
      <c r="N197" s="45"/>
      <c r="O197" s="46"/>
      <c r="P197" s="47">
        <f t="shared" si="58"/>
        <v>0.08714246850588939</v>
      </c>
      <c r="Q197" s="47">
        <f t="shared" si="59"/>
        <v>0.017385994761764077</v>
      </c>
      <c r="R197" s="47">
        <f t="shared" si="60"/>
        <v>-0.9960429728140489</v>
      </c>
      <c r="S197" s="48">
        <f t="shared" si="61"/>
        <v>11.283061820529971</v>
      </c>
      <c r="T197" s="48">
        <f t="shared" si="68"/>
        <v>-84.90197245232014</v>
      </c>
      <c r="U197" s="49">
        <f t="shared" si="62"/>
        <v>11.283061820529971</v>
      </c>
      <c r="V197" s="48">
        <f t="shared" si="67"/>
        <v>281.28306182052995</v>
      </c>
      <c r="W197" s="50">
        <f t="shared" si="63"/>
        <v>5.098027547679862</v>
      </c>
      <c r="X197" s="51"/>
      <c r="Y197" s="52"/>
      <c r="Z197" s="53"/>
      <c r="AA197" s="40">
        <v>52</v>
      </c>
      <c r="AB197" s="43">
        <v>100</v>
      </c>
      <c r="AC197" s="54">
        <v>323.6</v>
      </c>
      <c r="AD197" s="55">
        <v>-24.7</v>
      </c>
      <c r="AE197" s="49">
        <f t="shared" si="64"/>
        <v>227.68306182052993</v>
      </c>
      <c r="AF197" s="48">
        <f t="shared" si="66"/>
        <v>137.68306182052993</v>
      </c>
      <c r="AG197" s="48">
        <f t="shared" si="65"/>
        <v>5.098027547679862</v>
      </c>
      <c r="AH197" s="56"/>
      <c r="AI197" s="53"/>
    </row>
    <row r="198" spans="1:35" s="39" customFormat="1" ht="21">
      <c r="A198" s="81">
        <v>200.23</v>
      </c>
      <c r="B198" s="43" t="s">
        <v>44</v>
      </c>
      <c r="C198" s="43" t="s">
        <v>80</v>
      </c>
      <c r="D198" s="43">
        <v>4</v>
      </c>
      <c r="E198" s="40" t="s">
        <v>46</v>
      </c>
      <c r="F198" s="41">
        <v>69</v>
      </c>
      <c r="G198" s="42">
        <v>69</v>
      </c>
      <c r="H198" s="43"/>
      <c r="I198" s="44"/>
      <c r="J198" s="40">
        <v>90</v>
      </c>
      <c r="K198" s="45">
        <v>0</v>
      </c>
      <c r="L198" s="45">
        <v>0</v>
      </c>
      <c r="M198" s="45">
        <v>1</v>
      </c>
      <c r="N198" s="45"/>
      <c r="O198" s="46"/>
      <c r="P198" s="47">
        <f t="shared" si="58"/>
        <v>0.01745240643728351</v>
      </c>
      <c r="Q198" s="47">
        <f t="shared" si="59"/>
        <v>-1.0686516840418957E-18</v>
      </c>
      <c r="R198" s="47">
        <f t="shared" si="60"/>
        <v>-0.9998476951563913</v>
      </c>
      <c r="S198" s="48">
        <f t="shared" si="61"/>
        <v>360</v>
      </c>
      <c r="T198" s="48">
        <f t="shared" si="68"/>
        <v>-89.0000000000001</v>
      </c>
      <c r="U198" s="49">
        <f t="shared" si="62"/>
        <v>360</v>
      </c>
      <c r="V198" s="48">
        <f t="shared" si="67"/>
        <v>270</v>
      </c>
      <c r="W198" s="50">
        <f t="shared" si="63"/>
        <v>0.9999999999999005</v>
      </c>
      <c r="X198" s="51"/>
      <c r="Y198" s="52"/>
      <c r="Z198" s="53"/>
      <c r="AA198" s="40">
        <v>52</v>
      </c>
      <c r="AB198" s="43">
        <v>100</v>
      </c>
      <c r="AC198" s="54">
        <v>323.2</v>
      </c>
      <c r="AD198" s="55">
        <v>-43.3</v>
      </c>
      <c r="AE198" s="49">
        <f t="shared" si="64"/>
        <v>216.8</v>
      </c>
      <c r="AF198" s="48">
        <f t="shared" si="66"/>
        <v>126.80000000000001</v>
      </c>
      <c r="AG198" s="48">
        <f t="shared" si="65"/>
        <v>0.9999999999999005</v>
      </c>
      <c r="AH198" s="56"/>
      <c r="AI198" s="53"/>
    </row>
    <row r="199" spans="1:35" s="39" customFormat="1" ht="21">
      <c r="A199" s="81">
        <v>200.46</v>
      </c>
      <c r="B199" s="43" t="s">
        <v>44</v>
      </c>
      <c r="C199" s="43" t="s">
        <v>80</v>
      </c>
      <c r="D199" s="43">
        <v>4</v>
      </c>
      <c r="E199" s="40" t="s">
        <v>46</v>
      </c>
      <c r="F199" s="41">
        <v>92</v>
      </c>
      <c r="G199" s="42">
        <v>92</v>
      </c>
      <c r="H199" s="43"/>
      <c r="I199" s="44"/>
      <c r="J199" s="40">
        <v>90</v>
      </c>
      <c r="K199" s="45">
        <v>0</v>
      </c>
      <c r="L199" s="45">
        <v>180</v>
      </c>
      <c r="M199" s="45">
        <v>5</v>
      </c>
      <c r="N199" s="45"/>
      <c r="O199" s="46"/>
      <c r="P199" s="47">
        <f t="shared" si="58"/>
        <v>0.08715574274765817</v>
      </c>
      <c r="Q199" s="47">
        <f t="shared" si="59"/>
        <v>-5.336750069161486E-18</v>
      </c>
      <c r="R199" s="47">
        <f t="shared" si="60"/>
        <v>0.9961946980917455</v>
      </c>
      <c r="S199" s="48">
        <f t="shared" si="61"/>
        <v>360</v>
      </c>
      <c r="T199" s="48">
        <f t="shared" si="68"/>
        <v>85</v>
      </c>
      <c r="U199" s="49">
        <f t="shared" si="62"/>
        <v>180</v>
      </c>
      <c r="V199" s="48">
        <f t="shared" si="67"/>
        <v>90</v>
      </c>
      <c r="W199" s="50">
        <f t="shared" si="63"/>
        <v>5</v>
      </c>
      <c r="X199" s="51"/>
      <c r="Y199" s="52"/>
      <c r="Z199" s="53"/>
      <c r="AA199" s="40">
        <v>52</v>
      </c>
      <c r="AB199" s="43">
        <v>100</v>
      </c>
      <c r="AC199" s="54">
        <v>309.6</v>
      </c>
      <c r="AD199" s="55">
        <v>-41.1</v>
      </c>
      <c r="AE199" s="49">
        <f t="shared" si="64"/>
        <v>50.39999999999998</v>
      </c>
      <c r="AF199" s="48">
        <f t="shared" si="66"/>
        <v>320.4</v>
      </c>
      <c r="AG199" s="48">
        <f t="shared" si="65"/>
        <v>5</v>
      </c>
      <c r="AH199" s="56"/>
      <c r="AI199" s="53"/>
    </row>
    <row r="200" spans="1:35" s="39" customFormat="1" ht="12.75">
      <c r="A200" s="81">
        <v>200.925</v>
      </c>
      <c r="B200" s="43" t="s">
        <v>44</v>
      </c>
      <c r="C200" s="43" t="s">
        <v>80</v>
      </c>
      <c r="D200" s="43">
        <v>5</v>
      </c>
      <c r="E200" s="40" t="s">
        <v>46</v>
      </c>
      <c r="F200" s="41">
        <v>7.5</v>
      </c>
      <c r="G200" s="42">
        <v>7.5</v>
      </c>
      <c r="H200" s="43"/>
      <c r="I200" s="44"/>
      <c r="J200" s="40">
        <v>270</v>
      </c>
      <c r="K200" s="45">
        <v>5</v>
      </c>
      <c r="L200" s="45">
        <v>0</v>
      </c>
      <c r="M200" s="45">
        <v>3</v>
      </c>
      <c r="N200" s="45"/>
      <c r="O200" s="46"/>
      <c r="P200" s="47">
        <f t="shared" si="58"/>
        <v>-0.05213680212878223</v>
      </c>
      <c r="Q200" s="47">
        <f t="shared" si="59"/>
        <v>0.08703629883128321</v>
      </c>
      <c r="R200" s="47">
        <f t="shared" si="60"/>
        <v>0.994829447880333</v>
      </c>
      <c r="S200" s="48">
        <f t="shared" si="61"/>
        <v>120.92260626992791</v>
      </c>
      <c r="T200" s="48">
        <f t="shared" si="68"/>
        <v>84.17685049823567</v>
      </c>
      <c r="U200" s="49">
        <f t="shared" si="62"/>
        <v>300.9226062699279</v>
      </c>
      <c r="V200" s="48">
        <f t="shared" si="67"/>
        <v>210.92260626992788</v>
      </c>
      <c r="W200" s="50">
        <f t="shared" si="63"/>
        <v>5.823149501764334</v>
      </c>
      <c r="X200" s="51"/>
      <c r="Y200" s="52"/>
      <c r="Z200" s="53"/>
      <c r="AA200" s="40">
        <v>0</v>
      </c>
      <c r="AB200" s="43">
        <v>82</v>
      </c>
      <c r="AC200" s="54">
        <v>327.5</v>
      </c>
      <c r="AD200" s="55">
        <v>-37.9</v>
      </c>
      <c r="AE200" s="49">
        <f t="shared" si="64"/>
        <v>153.42260626992788</v>
      </c>
      <c r="AF200" s="48">
        <f t="shared" si="66"/>
        <v>63.42260626992788</v>
      </c>
      <c r="AG200" s="48">
        <f t="shared" si="65"/>
        <v>5.823149501764334</v>
      </c>
      <c r="AH200" s="56"/>
      <c r="AI200" s="53"/>
    </row>
    <row r="201" spans="1:35" s="39" customFormat="1" ht="12.75">
      <c r="A201" s="81">
        <v>201.11</v>
      </c>
      <c r="B201" s="43" t="s">
        <v>44</v>
      </c>
      <c r="C201" s="43" t="s">
        <v>80</v>
      </c>
      <c r="D201" s="43">
        <v>5</v>
      </c>
      <c r="E201" s="40" t="s">
        <v>46</v>
      </c>
      <c r="F201" s="41">
        <v>26</v>
      </c>
      <c r="G201" s="42">
        <v>26</v>
      </c>
      <c r="H201" s="43"/>
      <c r="I201" s="44"/>
      <c r="J201" s="40">
        <v>270</v>
      </c>
      <c r="K201" s="45">
        <v>4</v>
      </c>
      <c r="L201" s="45">
        <v>180</v>
      </c>
      <c r="M201" s="45">
        <v>6</v>
      </c>
      <c r="N201" s="45"/>
      <c r="O201" s="46"/>
      <c r="P201" s="47">
        <f t="shared" si="58"/>
        <v>-0.10427383718471565</v>
      </c>
      <c r="Q201" s="47">
        <f t="shared" si="59"/>
        <v>-0.06937434048221468</v>
      </c>
      <c r="R201" s="47">
        <f t="shared" si="60"/>
        <v>-0.9920992900156518</v>
      </c>
      <c r="S201" s="48">
        <f t="shared" si="61"/>
        <v>213.63618705852534</v>
      </c>
      <c r="T201" s="48">
        <f t="shared" si="68"/>
        <v>-82.80501343661278</v>
      </c>
      <c r="U201" s="49">
        <f t="shared" si="62"/>
        <v>213.63618705852534</v>
      </c>
      <c r="V201" s="48">
        <f t="shared" si="67"/>
        <v>123.63618705852534</v>
      </c>
      <c r="W201" s="50">
        <f t="shared" si="63"/>
        <v>7.194986563387218</v>
      </c>
      <c r="X201" s="51"/>
      <c r="Y201" s="52"/>
      <c r="Z201" s="53"/>
      <c r="AA201" s="40">
        <v>0</v>
      </c>
      <c r="AB201" s="43">
        <v>82</v>
      </c>
      <c r="AC201" s="54">
        <v>319</v>
      </c>
      <c r="AD201" s="55">
        <v>-22.3</v>
      </c>
      <c r="AE201" s="49">
        <f t="shared" si="64"/>
        <v>74.63618705852534</v>
      </c>
      <c r="AF201" s="48">
        <f t="shared" si="66"/>
        <v>344.63618705852537</v>
      </c>
      <c r="AG201" s="48">
        <f t="shared" si="65"/>
        <v>7.194986563387218</v>
      </c>
      <c r="AH201" s="56"/>
      <c r="AI201" s="53"/>
    </row>
    <row r="202" spans="1:35" s="39" customFormat="1" ht="21">
      <c r="A202" s="81">
        <v>202.09</v>
      </c>
      <c r="B202" s="43" t="s">
        <v>44</v>
      </c>
      <c r="C202" s="43" t="s">
        <v>81</v>
      </c>
      <c r="D202" s="43">
        <v>1</v>
      </c>
      <c r="E202" s="40" t="s">
        <v>46</v>
      </c>
      <c r="F202" s="41">
        <v>120</v>
      </c>
      <c r="G202" s="42">
        <v>120</v>
      </c>
      <c r="H202" s="43"/>
      <c r="I202" s="44"/>
      <c r="J202" s="40">
        <v>270</v>
      </c>
      <c r="K202" s="45">
        <v>6</v>
      </c>
      <c r="L202" s="45">
        <v>180</v>
      </c>
      <c r="M202" s="45">
        <v>2</v>
      </c>
      <c r="N202" s="45"/>
      <c r="O202" s="46"/>
      <c r="P202" s="47">
        <f t="shared" si="58"/>
        <v>-0.03470831360797008</v>
      </c>
      <c r="Q202" s="47">
        <f t="shared" si="59"/>
        <v>-0.10446478735209536</v>
      </c>
      <c r="R202" s="47">
        <f t="shared" si="60"/>
        <v>-0.9939160595006973</v>
      </c>
      <c r="S202" s="48">
        <f t="shared" si="61"/>
        <v>251.62098802250347</v>
      </c>
      <c r="T202" s="48">
        <f t="shared" si="68"/>
        <v>-83.68004299396074</v>
      </c>
      <c r="U202" s="49">
        <f t="shared" si="62"/>
        <v>251.62098802250347</v>
      </c>
      <c r="V202" s="48">
        <f t="shared" si="67"/>
        <v>161.62098802250347</v>
      </c>
      <c r="W202" s="50">
        <f t="shared" si="63"/>
        <v>6.31995700603926</v>
      </c>
      <c r="X202" s="51"/>
      <c r="Y202" s="52"/>
      <c r="Z202" s="53"/>
      <c r="AA202" s="40">
        <v>95</v>
      </c>
      <c r="AB202" s="43">
        <v>28</v>
      </c>
      <c r="AC202" s="54">
        <v>162.9</v>
      </c>
      <c r="AD202" s="55">
        <v>-24.6</v>
      </c>
      <c r="AE202" s="49">
        <f t="shared" si="64"/>
        <v>268.72098802250343</v>
      </c>
      <c r="AF202" s="48">
        <f t="shared" si="66"/>
        <v>178.72098802250343</v>
      </c>
      <c r="AG202" s="48">
        <f t="shared" si="65"/>
        <v>6.31995700603926</v>
      </c>
      <c r="AH202" s="56"/>
      <c r="AI202" s="53"/>
    </row>
    <row r="203" spans="1:36" s="39" customFormat="1" ht="12.75">
      <c r="A203" s="81">
        <v>202.685</v>
      </c>
      <c r="B203" s="43" t="s">
        <v>44</v>
      </c>
      <c r="C203" s="43" t="s">
        <v>81</v>
      </c>
      <c r="D203" s="43">
        <v>3</v>
      </c>
      <c r="E203" s="40" t="s">
        <v>73</v>
      </c>
      <c r="F203" s="41">
        <v>15</v>
      </c>
      <c r="G203" s="42">
        <v>15</v>
      </c>
      <c r="H203" s="43"/>
      <c r="I203" s="44"/>
      <c r="J203" s="40">
        <v>270</v>
      </c>
      <c r="K203" s="45">
        <v>5</v>
      </c>
      <c r="L203" s="45">
        <v>180</v>
      </c>
      <c r="M203" s="45">
        <v>1</v>
      </c>
      <c r="N203" s="45"/>
      <c r="O203" s="46"/>
      <c r="P203" s="47">
        <f t="shared" si="58"/>
        <v>-0.017385994761764095</v>
      </c>
      <c r="Q203" s="47">
        <f t="shared" si="59"/>
        <v>-0.08714246850588939</v>
      </c>
      <c r="R203" s="47">
        <f t="shared" si="60"/>
        <v>-0.9960429728140489</v>
      </c>
      <c r="S203" s="48">
        <f t="shared" si="61"/>
        <v>258.71693817947005</v>
      </c>
      <c r="T203" s="48">
        <f t="shared" si="68"/>
        <v>-84.90197245232014</v>
      </c>
      <c r="U203" s="49">
        <f t="shared" si="62"/>
        <v>258.71693817947005</v>
      </c>
      <c r="V203" s="48">
        <f t="shared" si="67"/>
        <v>168.71693817947005</v>
      </c>
      <c r="W203" s="50">
        <f t="shared" si="63"/>
        <v>5.098027547679862</v>
      </c>
      <c r="X203" s="51"/>
      <c r="Y203" s="52"/>
      <c r="Z203" s="53"/>
      <c r="AA203" s="40">
        <v>0</v>
      </c>
      <c r="AB203" s="43">
        <v>30</v>
      </c>
      <c r="AC203" s="54">
        <v>152.8</v>
      </c>
      <c r="AD203" s="55">
        <v>-13</v>
      </c>
      <c r="AE203" s="49">
        <f t="shared" si="64"/>
        <v>285.91693817947004</v>
      </c>
      <c r="AF203" s="48">
        <f t="shared" si="66"/>
        <v>195.91693817947004</v>
      </c>
      <c r="AG203" s="48">
        <f t="shared" si="65"/>
        <v>5.098027547679862</v>
      </c>
      <c r="AH203" s="56"/>
      <c r="AI203" s="53"/>
      <c r="AJ203" s="39" t="s">
        <v>85</v>
      </c>
    </row>
    <row r="204" spans="1:35" s="39" customFormat="1" ht="21">
      <c r="A204" s="81">
        <v>211.13</v>
      </c>
      <c r="B204" s="43" t="s">
        <v>44</v>
      </c>
      <c r="C204" s="43" t="s">
        <v>82</v>
      </c>
      <c r="D204" s="43">
        <v>1</v>
      </c>
      <c r="E204" s="40" t="s">
        <v>46</v>
      </c>
      <c r="F204" s="41">
        <v>74</v>
      </c>
      <c r="G204" s="42">
        <v>75</v>
      </c>
      <c r="H204" s="43"/>
      <c r="I204" s="44"/>
      <c r="J204" s="40">
        <v>270</v>
      </c>
      <c r="K204" s="45">
        <v>4</v>
      </c>
      <c r="L204" s="45">
        <v>0</v>
      </c>
      <c r="M204" s="45">
        <v>13</v>
      </c>
      <c r="N204" s="45"/>
      <c r="O204" s="46"/>
      <c r="P204" s="47">
        <f t="shared" si="58"/>
        <v>-0.2244030848814838</v>
      </c>
      <c r="Q204" s="47">
        <f t="shared" si="59"/>
        <v>0.06796861984125298</v>
      </c>
      <c r="R204" s="47">
        <f t="shared" si="60"/>
        <v>0.9719965482790865</v>
      </c>
      <c r="S204" s="48">
        <f t="shared" si="61"/>
        <v>163.149158433115</v>
      </c>
      <c r="T204" s="48">
        <f t="shared" si="68"/>
        <v>76.43787781462116</v>
      </c>
      <c r="U204" s="49">
        <f t="shared" si="62"/>
        <v>343.14915843311496</v>
      </c>
      <c r="V204" s="48">
        <f t="shared" si="67"/>
        <v>253.14915843311496</v>
      </c>
      <c r="W204" s="50">
        <f t="shared" si="63"/>
        <v>13.56212218537884</v>
      </c>
      <c r="X204" s="51"/>
      <c r="Y204" s="52"/>
      <c r="Z204" s="53"/>
      <c r="AA204" s="40">
        <v>71</v>
      </c>
      <c r="AB204" s="43">
        <v>116</v>
      </c>
      <c r="AC204" s="54"/>
      <c r="AD204" s="55"/>
      <c r="AE204" s="49">
        <f t="shared" si="64"/>
        <v>343.14915843311496</v>
      </c>
      <c r="AF204" s="48">
        <f t="shared" si="66"/>
        <v>253.14915843311496</v>
      </c>
      <c r="AG204" s="48">
        <f t="shared" si="65"/>
        <v>13.56212218537884</v>
      </c>
      <c r="AH204" s="56"/>
      <c r="AI204" s="53"/>
    </row>
    <row r="205" spans="1:35" s="39" customFormat="1" ht="21">
      <c r="A205" s="81">
        <v>211.31</v>
      </c>
      <c r="B205" s="43" t="s">
        <v>44</v>
      </c>
      <c r="C205" s="43" t="s">
        <v>82</v>
      </c>
      <c r="D205" s="43">
        <v>1</v>
      </c>
      <c r="E205" s="40" t="s">
        <v>46</v>
      </c>
      <c r="F205" s="41">
        <v>92</v>
      </c>
      <c r="G205" s="42">
        <v>92</v>
      </c>
      <c r="H205" s="43"/>
      <c r="I205" s="44"/>
      <c r="J205" s="40">
        <v>270</v>
      </c>
      <c r="K205" s="45">
        <v>1</v>
      </c>
      <c r="L205" s="45">
        <v>0</v>
      </c>
      <c r="M205" s="45">
        <v>13</v>
      </c>
      <c r="N205" s="45"/>
      <c r="O205" s="46"/>
      <c r="P205" s="47">
        <f t="shared" si="58"/>
        <v>-0.22491679320871355</v>
      </c>
      <c r="Q205" s="47">
        <f t="shared" si="59"/>
        <v>0.017005102390954232</v>
      </c>
      <c r="R205" s="47">
        <f t="shared" si="60"/>
        <v>0.9742216635049011</v>
      </c>
      <c r="S205" s="48">
        <f t="shared" si="61"/>
        <v>175.67631023429044</v>
      </c>
      <c r="T205" s="48">
        <f t="shared" si="68"/>
        <v>76.9641625374888</v>
      </c>
      <c r="U205" s="49">
        <f t="shared" si="62"/>
        <v>355.67631023429044</v>
      </c>
      <c r="V205" s="48">
        <f t="shared" si="67"/>
        <v>265.67631023429044</v>
      </c>
      <c r="W205" s="50">
        <f t="shared" si="63"/>
        <v>13.035837462511196</v>
      </c>
      <c r="X205" s="51"/>
      <c r="Y205" s="52"/>
      <c r="Z205" s="53"/>
      <c r="AA205" s="40">
        <v>71</v>
      </c>
      <c r="AB205" s="43">
        <v>116</v>
      </c>
      <c r="AC205" s="54">
        <v>330.2</v>
      </c>
      <c r="AD205" s="55">
        <v>12.6</v>
      </c>
      <c r="AE205" s="49">
        <f t="shared" si="64"/>
        <v>25.47631023429045</v>
      </c>
      <c r="AF205" s="48">
        <f t="shared" si="66"/>
        <v>295.47631023429045</v>
      </c>
      <c r="AG205" s="48">
        <f t="shared" si="65"/>
        <v>13.035837462511196</v>
      </c>
      <c r="AH205" s="56"/>
      <c r="AI205" s="53"/>
    </row>
    <row r="206" spans="1:35" s="39" customFormat="1" ht="12.75">
      <c r="A206" s="81">
        <v>211.89</v>
      </c>
      <c r="B206" s="43" t="s">
        <v>44</v>
      </c>
      <c r="C206" s="43" t="s">
        <v>82</v>
      </c>
      <c r="D206" s="43">
        <v>2</v>
      </c>
      <c r="E206" s="40" t="s">
        <v>46</v>
      </c>
      <c r="F206" s="41">
        <v>19</v>
      </c>
      <c r="G206" s="42">
        <v>19</v>
      </c>
      <c r="H206" s="43"/>
      <c r="I206" s="44"/>
      <c r="J206" s="40">
        <v>270</v>
      </c>
      <c r="K206" s="45">
        <v>0</v>
      </c>
      <c r="L206" s="45">
        <v>0</v>
      </c>
      <c r="M206" s="45">
        <v>0</v>
      </c>
      <c r="N206" s="45"/>
      <c r="O206" s="46"/>
      <c r="P206" s="47">
        <f t="shared" si="58"/>
        <v>0</v>
      </c>
      <c r="Q206" s="47">
        <f t="shared" si="59"/>
        <v>0</v>
      </c>
      <c r="R206" s="47">
        <f t="shared" si="60"/>
        <v>1</v>
      </c>
      <c r="S206" s="48">
        <f t="shared" si="61"/>
        <v>90</v>
      </c>
      <c r="T206" s="48">
        <f t="shared" si="68"/>
        <v>90</v>
      </c>
      <c r="U206" s="49">
        <f t="shared" si="62"/>
        <v>270</v>
      </c>
      <c r="V206" s="48">
        <f t="shared" si="67"/>
        <v>180</v>
      </c>
      <c r="W206" s="50">
        <f t="shared" si="63"/>
        <v>0</v>
      </c>
      <c r="X206" s="51"/>
      <c r="Y206" s="52"/>
      <c r="Z206" s="53"/>
      <c r="AA206" s="40">
        <v>0</v>
      </c>
      <c r="AB206" s="43">
        <v>24</v>
      </c>
      <c r="AC206" s="54">
        <v>334</v>
      </c>
      <c r="AD206" s="55">
        <v>27.6</v>
      </c>
      <c r="AE206" s="49">
        <f t="shared" si="64"/>
        <v>296</v>
      </c>
      <c r="AF206" s="48">
        <f t="shared" si="66"/>
        <v>206</v>
      </c>
      <c r="AG206" s="48">
        <f t="shared" si="65"/>
        <v>0</v>
      </c>
      <c r="AH206" s="56"/>
      <c r="AI206" s="53"/>
    </row>
    <row r="207" spans="1:35" s="39" customFormat="1" ht="12.75">
      <c r="A207" s="81">
        <v>213.165</v>
      </c>
      <c r="B207" s="43" t="s">
        <v>44</v>
      </c>
      <c r="C207" s="43" t="s">
        <v>82</v>
      </c>
      <c r="D207" s="43">
        <v>3</v>
      </c>
      <c r="E207" s="40" t="s">
        <v>46</v>
      </c>
      <c r="F207" s="41">
        <v>15</v>
      </c>
      <c r="G207" s="42">
        <v>15</v>
      </c>
      <c r="H207" s="43"/>
      <c r="I207" s="44"/>
      <c r="J207" s="40">
        <v>270</v>
      </c>
      <c r="K207" s="45">
        <v>4</v>
      </c>
      <c r="L207" s="45">
        <v>0</v>
      </c>
      <c r="M207" s="45">
        <v>6</v>
      </c>
      <c r="N207" s="45"/>
      <c r="O207" s="46"/>
      <c r="P207" s="47">
        <f t="shared" si="58"/>
        <v>-0.10427383718471564</v>
      </c>
      <c r="Q207" s="47">
        <f t="shared" si="59"/>
        <v>0.0693743404822147</v>
      </c>
      <c r="R207" s="47">
        <f t="shared" si="60"/>
        <v>0.9920992900156518</v>
      </c>
      <c r="S207" s="48">
        <f t="shared" si="61"/>
        <v>146.36381294147463</v>
      </c>
      <c r="T207" s="48">
        <f t="shared" si="68"/>
        <v>82.80501343661278</v>
      </c>
      <c r="U207" s="49">
        <f t="shared" si="62"/>
        <v>326.36381294147463</v>
      </c>
      <c r="V207" s="48">
        <f t="shared" si="67"/>
        <v>236.36381294147463</v>
      </c>
      <c r="W207" s="50">
        <f t="shared" si="63"/>
        <v>7.194986563387218</v>
      </c>
      <c r="X207" s="51"/>
      <c r="Y207" s="52"/>
      <c r="Z207" s="53"/>
      <c r="AA207" s="40">
        <v>0</v>
      </c>
      <c r="AB207" s="43">
        <v>50</v>
      </c>
      <c r="AC207" s="54">
        <v>312.8</v>
      </c>
      <c r="AD207" s="55">
        <v>25.2</v>
      </c>
      <c r="AE207" s="49">
        <f t="shared" si="64"/>
        <v>13.563812941474623</v>
      </c>
      <c r="AF207" s="48">
        <f t="shared" si="66"/>
        <v>283.5638129414746</v>
      </c>
      <c r="AG207" s="48">
        <f t="shared" si="65"/>
        <v>7.194986563387218</v>
      </c>
      <c r="AH207" s="56"/>
      <c r="AI207" s="53"/>
    </row>
    <row r="208" spans="1:35" s="39" customFormat="1" ht="12.75">
      <c r="A208" s="81">
        <v>214.015</v>
      </c>
      <c r="B208" s="43" t="s">
        <v>44</v>
      </c>
      <c r="C208" s="43" t="s">
        <v>82</v>
      </c>
      <c r="D208" s="43">
        <v>3</v>
      </c>
      <c r="E208" s="40" t="s">
        <v>46</v>
      </c>
      <c r="F208" s="41">
        <v>100</v>
      </c>
      <c r="G208" s="42">
        <v>100</v>
      </c>
      <c r="H208" s="43"/>
      <c r="I208" s="44"/>
      <c r="J208" s="40">
        <v>270</v>
      </c>
      <c r="K208" s="45">
        <v>4</v>
      </c>
      <c r="L208" s="45">
        <v>0</v>
      </c>
      <c r="M208" s="45">
        <v>1</v>
      </c>
      <c r="N208" s="45"/>
      <c r="O208" s="46"/>
      <c r="P208" s="47">
        <f t="shared" si="58"/>
        <v>-0.01740989325235717</v>
      </c>
      <c r="Q208" s="47">
        <f t="shared" si="59"/>
        <v>0.06974584949530101</v>
      </c>
      <c r="R208" s="47">
        <f t="shared" si="60"/>
        <v>0.9974121164231596</v>
      </c>
      <c r="S208" s="48">
        <f t="shared" si="61"/>
        <v>104.01569916405353</v>
      </c>
      <c r="T208" s="48">
        <f t="shared" si="68"/>
        <v>85.87768053918502</v>
      </c>
      <c r="U208" s="49">
        <f t="shared" si="62"/>
        <v>284.01569916405356</v>
      </c>
      <c r="V208" s="48">
        <f t="shared" si="67"/>
        <v>194.01569916405356</v>
      </c>
      <c r="W208" s="50">
        <f t="shared" si="63"/>
        <v>4.122319460814978</v>
      </c>
      <c r="X208" s="51"/>
      <c r="Y208" s="52"/>
      <c r="Z208" s="53"/>
      <c r="AA208" s="40">
        <v>90</v>
      </c>
      <c r="AB208" s="43">
        <v>121</v>
      </c>
      <c r="AC208" s="54">
        <v>328.9</v>
      </c>
      <c r="AD208" s="55">
        <v>0.4</v>
      </c>
      <c r="AE208" s="49">
        <f t="shared" si="64"/>
        <v>315.1156991640536</v>
      </c>
      <c r="AF208" s="48">
        <f t="shared" si="66"/>
        <v>225.11569916405358</v>
      </c>
      <c r="AG208" s="48">
        <f t="shared" si="65"/>
        <v>4.122319460814978</v>
      </c>
      <c r="AH208" s="56"/>
      <c r="AI208" s="53"/>
    </row>
    <row r="209" spans="1:36" s="39" customFormat="1" ht="12.75">
      <c r="A209" s="81">
        <v>214.73</v>
      </c>
      <c r="B209" s="43" t="s">
        <v>44</v>
      </c>
      <c r="C209" s="43" t="s">
        <v>82</v>
      </c>
      <c r="D209" s="43">
        <v>4</v>
      </c>
      <c r="E209" s="40" t="s">
        <v>73</v>
      </c>
      <c r="F209" s="41">
        <v>40.5</v>
      </c>
      <c r="G209" s="42">
        <v>40.5</v>
      </c>
      <c r="H209" s="43"/>
      <c r="I209" s="44"/>
      <c r="J209" s="40">
        <v>270</v>
      </c>
      <c r="K209" s="45">
        <v>2</v>
      </c>
      <c r="L209" s="45">
        <v>180</v>
      </c>
      <c r="M209" s="45">
        <v>1</v>
      </c>
      <c r="N209" s="45"/>
      <c r="O209" s="46"/>
      <c r="P209" s="47">
        <f t="shared" si="58"/>
        <v>-0.01744177490283016</v>
      </c>
      <c r="Q209" s="47">
        <f t="shared" si="59"/>
        <v>-0.03489418134011367</v>
      </c>
      <c r="R209" s="47">
        <f t="shared" si="60"/>
        <v>-0.9992386149554826</v>
      </c>
      <c r="S209" s="48">
        <f t="shared" si="61"/>
        <v>243.4419319834189</v>
      </c>
      <c r="T209" s="48">
        <f t="shared" si="68"/>
        <v>-87.76429506217735</v>
      </c>
      <c r="U209" s="49">
        <f t="shared" si="62"/>
        <v>243.4419319834189</v>
      </c>
      <c r="V209" s="48">
        <f t="shared" si="67"/>
        <v>153.4419319834189</v>
      </c>
      <c r="W209" s="50">
        <f t="shared" si="63"/>
        <v>2.2357049378226463</v>
      </c>
      <c r="X209" s="51"/>
      <c r="Y209" s="52"/>
      <c r="Z209" s="53"/>
      <c r="AA209" s="40">
        <v>0</v>
      </c>
      <c r="AB209" s="43">
        <v>89</v>
      </c>
      <c r="AC209" s="54">
        <v>24.5</v>
      </c>
      <c r="AD209" s="55">
        <v>8.4</v>
      </c>
      <c r="AE209" s="49">
        <f t="shared" si="64"/>
        <v>218.9419319834189</v>
      </c>
      <c r="AF209" s="48">
        <f t="shared" si="66"/>
        <v>128.9419319834189</v>
      </c>
      <c r="AG209" s="48">
        <f t="shared" si="65"/>
        <v>2.2357049378226463</v>
      </c>
      <c r="AH209" s="56"/>
      <c r="AI209" s="53"/>
      <c r="AJ209" s="39" t="s">
        <v>85</v>
      </c>
    </row>
    <row r="210" spans="1:35" s="39" customFormat="1" ht="12.75">
      <c r="A210" s="81">
        <f>219.89+0.22</f>
        <v>220.10999999999999</v>
      </c>
      <c r="B210" s="43" t="s">
        <v>44</v>
      </c>
      <c r="C210" s="43" t="s">
        <v>83</v>
      </c>
      <c r="D210" s="43">
        <v>1</v>
      </c>
      <c r="E210" s="40" t="s">
        <v>46</v>
      </c>
      <c r="F210" s="41">
        <v>22</v>
      </c>
      <c r="G210" s="42">
        <v>22</v>
      </c>
      <c r="H210" s="43"/>
      <c r="I210" s="44"/>
      <c r="J210" s="40">
        <v>90</v>
      </c>
      <c r="K210" s="45">
        <v>0</v>
      </c>
      <c r="L210" s="45">
        <v>0</v>
      </c>
      <c r="M210" s="45">
        <v>3</v>
      </c>
      <c r="N210" s="45"/>
      <c r="O210" s="46"/>
      <c r="P210" s="47">
        <f t="shared" si="58"/>
        <v>0.05233595624294383</v>
      </c>
      <c r="Q210" s="47">
        <f t="shared" si="59"/>
        <v>-3.2046530646618547E-18</v>
      </c>
      <c r="R210" s="47">
        <f t="shared" si="60"/>
        <v>-0.9986295347545738</v>
      </c>
      <c r="S210" s="48">
        <f t="shared" si="61"/>
        <v>360</v>
      </c>
      <c r="T210" s="48">
        <f t="shared" si="68"/>
        <v>-87.00000000000007</v>
      </c>
      <c r="U210" s="49">
        <f t="shared" si="62"/>
        <v>360</v>
      </c>
      <c r="V210" s="48">
        <f t="shared" si="67"/>
        <v>270</v>
      </c>
      <c r="W210" s="50">
        <f t="shared" si="63"/>
        <v>2.999999999999929</v>
      </c>
      <c r="X210" s="51"/>
      <c r="Y210" s="52"/>
      <c r="Z210" s="53"/>
      <c r="AA210" s="40">
        <v>0</v>
      </c>
      <c r="AB210" s="43">
        <v>63</v>
      </c>
      <c r="AC210" s="54">
        <v>50.5</v>
      </c>
      <c r="AD210" s="55">
        <v>82.7</v>
      </c>
      <c r="AE210" s="49">
        <f t="shared" si="64"/>
        <v>309.5</v>
      </c>
      <c r="AF210" s="48">
        <f t="shared" si="66"/>
        <v>219.5</v>
      </c>
      <c r="AG210" s="48">
        <f t="shared" si="65"/>
        <v>2.999999999999929</v>
      </c>
      <c r="AH210" s="56"/>
      <c r="AI210" s="53"/>
    </row>
    <row r="211" spans="1:35" s="39" customFormat="1" ht="12.75">
      <c r="A211" s="81">
        <f>219.89+0.53</f>
        <v>220.42</v>
      </c>
      <c r="B211" s="43" t="s">
        <v>44</v>
      </c>
      <c r="C211" s="43" t="s">
        <v>83</v>
      </c>
      <c r="D211" s="43">
        <v>1</v>
      </c>
      <c r="E211" s="40" t="s">
        <v>46</v>
      </c>
      <c r="F211" s="41">
        <v>53</v>
      </c>
      <c r="G211" s="42">
        <v>53</v>
      </c>
      <c r="H211" s="43"/>
      <c r="I211" s="44"/>
      <c r="J211" s="40">
        <v>90</v>
      </c>
      <c r="K211" s="45">
        <v>0</v>
      </c>
      <c r="L211" s="45">
        <v>0</v>
      </c>
      <c r="M211" s="45">
        <v>5</v>
      </c>
      <c r="N211" s="45"/>
      <c r="O211" s="46"/>
      <c r="P211" s="47">
        <f t="shared" si="58"/>
        <v>0.08715574274765817</v>
      </c>
      <c r="Q211" s="47">
        <f t="shared" si="59"/>
        <v>-5.336750069161486E-18</v>
      </c>
      <c r="R211" s="47">
        <f t="shared" si="60"/>
        <v>-0.9961946980917455</v>
      </c>
      <c r="S211" s="48">
        <f t="shared" si="61"/>
        <v>360</v>
      </c>
      <c r="T211" s="48">
        <f t="shared" si="68"/>
        <v>-85</v>
      </c>
      <c r="U211" s="49">
        <f t="shared" si="62"/>
        <v>360</v>
      </c>
      <c r="V211" s="48">
        <f t="shared" si="67"/>
        <v>270</v>
      </c>
      <c r="W211" s="50">
        <f t="shared" si="63"/>
        <v>5</v>
      </c>
      <c r="X211" s="51"/>
      <c r="Y211" s="52"/>
      <c r="Z211" s="53"/>
      <c r="AA211" s="40">
        <v>0</v>
      </c>
      <c r="AB211" s="43">
        <v>63</v>
      </c>
      <c r="AC211" s="54">
        <v>145.2</v>
      </c>
      <c r="AD211" s="55">
        <v>81.9</v>
      </c>
      <c r="AE211" s="49">
        <f t="shared" si="64"/>
        <v>214.8</v>
      </c>
      <c r="AF211" s="48">
        <f t="shared" si="66"/>
        <v>124.80000000000001</v>
      </c>
      <c r="AG211" s="48">
        <f t="shared" si="65"/>
        <v>5</v>
      </c>
      <c r="AH211" s="56"/>
      <c r="AI211" s="53"/>
    </row>
    <row r="212" spans="1:35" s="39" customFormat="1" ht="12.75">
      <c r="A212" s="81">
        <f>221.2+0.35</f>
        <v>221.54999999999998</v>
      </c>
      <c r="B212" s="43" t="s">
        <v>44</v>
      </c>
      <c r="C212" s="43" t="s">
        <v>83</v>
      </c>
      <c r="D212" s="43">
        <v>2</v>
      </c>
      <c r="E212" s="40" t="s">
        <v>46</v>
      </c>
      <c r="F212" s="41">
        <v>35</v>
      </c>
      <c r="G212" s="42">
        <v>35</v>
      </c>
      <c r="H212" s="43"/>
      <c r="I212" s="44"/>
      <c r="J212" s="40">
        <v>90</v>
      </c>
      <c r="K212" s="45">
        <v>0</v>
      </c>
      <c r="L212" s="45">
        <v>0</v>
      </c>
      <c r="M212" s="45">
        <v>5</v>
      </c>
      <c r="N212" s="45"/>
      <c r="O212" s="46"/>
      <c r="P212" s="47">
        <f t="shared" si="58"/>
        <v>0.08715574274765817</v>
      </c>
      <c r="Q212" s="47">
        <f t="shared" si="59"/>
        <v>-5.336750069161486E-18</v>
      </c>
      <c r="R212" s="47">
        <f t="shared" si="60"/>
        <v>-0.9961946980917455</v>
      </c>
      <c r="S212" s="48">
        <f t="shared" si="61"/>
        <v>360</v>
      </c>
      <c r="T212" s="48">
        <f t="shared" si="68"/>
        <v>-85</v>
      </c>
      <c r="U212" s="49">
        <f t="shared" si="62"/>
        <v>360</v>
      </c>
      <c r="V212" s="48">
        <f t="shared" si="67"/>
        <v>270</v>
      </c>
      <c r="W212" s="50">
        <f t="shared" si="63"/>
        <v>5</v>
      </c>
      <c r="X212" s="51"/>
      <c r="Y212" s="52"/>
      <c r="Z212" s="53"/>
      <c r="AA212" s="40">
        <v>0</v>
      </c>
      <c r="AB212" s="43">
        <v>67</v>
      </c>
      <c r="AC212" s="54">
        <v>62</v>
      </c>
      <c r="AD212" s="55">
        <v>66.8</v>
      </c>
      <c r="AE212" s="49">
        <f t="shared" si="64"/>
        <v>298</v>
      </c>
      <c r="AF212" s="48">
        <f t="shared" si="66"/>
        <v>208</v>
      </c>
      <c r="AG212" s="48">
        <f t="shared" si="65"/>
        <v>5</v>
      </c>
      <c r="AH212" s="56"/>
      <c r="AI212" s="53"/>
    </row>
    <row r="213" spans="1:35" s="39" customFormat="1" ht="12.75">
      <c r="A213" s="81">
        <f>222.52+0.56</f>
        <v>223.08</v>
      </c>
      <c r="B213" s="43" t="s">
        <v>44</v>
      </c>
      <c r="C213" s="43" t="s">
        <v>83</v>
      </c>
      <c r="D213" s="43">
        <v>4</v>
      </c>
      <c r="E213" s="40" t="s">
        <v>46</v>
      </c>
      <c r="F213" s="41">
        <v>56</v>
      </c>
      <c r="G213" s="42">
        <v>56</v>
      </c>
      <c r="H213" s="43"/>
      <c r="I213" s="44"/>
      <c r="J213" s="40">
        <v>90</v>
      </c>
      <c r="K213" s="45">
        <v>0</v>
      </c>
      <c r="L213" s="45">
        <v>0</v>
      </c>
      <c r="M213" s="45">
        <v>2</v>
      </c>
      <c r="N213" s="45"/>
      <c r="O213" s="46"/>
      <c r="P213" s="47">
        <f t="shared" si="58"/>
        <v>0.03489949670250097</v>
      </c>
      <c r="Q213" s="47">
        <f t="shared" si="59"/>
        <v>-2.136977846428571E-18</v>
      </c>
      <c r="R213" s="47">
        <f t="shared" si="60"/>
        <v>-0.9993908270190958</v>
      </c>
      <c r="S213" s="48">
        <f t="shared" si="61"/>
        <v>360</v>
      </c>
      <c r="T213" s="48">
        <f t="shared" si="68"/>
        <v>-88.00000000000024</v>
      </c>
      <c r="U213" s="49">
        <f t="shared" si="62"/>
        <v>360</v>
      </c>
      <c r="V213" s="48">
        <f t="shared" si="67"/>
        <v>270</v>
      </c>
      <c r="W213" s="50">
        <f t="shared" si="63"/>
        <v>1.9999999999997584</v>
      </c>
      <c r="X213" s="51"/>
      <c r="Y213" s="52"/>
      <c r="Z213" s="53"/>
      <c r="AA213" s="40">
        <v>52</v>
      </c>
      <c r="AB213" s="43">
        <v>127</v>
      </c>
      <c r="AC213" s="54">
        <v>62.9</v>
      </c>
      <c r="AD213" s="55">
        <v>42.5</v>
      </c>
      <c r="AE213" s="49">
        <f t="shared" si="64"/>
        <v>297.1</v>
      </c>
      <c r="AF213" s="48">
        <f t="shared" si="66"/>
        <v>207.10000000000002</v>
      </c>
      <c r="AG213" s="48">
        <f t="shared" si="65"/>
        <v>1.9999999999997584</v>
      </c>
      <c r="AH213" s="56"/>
      <c r="AI213" s="53"/>
    </row>
    <row r="214" spans="1:36" s="39" customFormat="1" ht="21">
      <c r="A214" s="81">
        <f>223.85+0.04</f>
        <v>223.89</v>
      </c>
      <c r="B214" s="43" t="s">
        <v>44</v>
      </c>
      <c r="C214" s="43" t="s">
        <v>83</v>
      </c>
      <c r="D214" s="43">
        <v>5</v>
      </c>
      <c r="E214" s="40" t="s">
        <v>73</v>
      </c>
      <c r="F214" s="41">
        <v>4</v>
      </c>
      <c r="G214" s="42">
        <v>4</v>
      </c>
      <c r="H214" s="43"/>
      <c r="I214" s="44"/>
      <c r="J214" s="40">
        <v>270</v>
      </c>
      <c r="K214" s="45">
        <v>3</v>
      </c>
      <c r="L214" s="45">
        <v>180</v>
      </c>
      <c r="M214" s="45">
        <v>4</v>
      </c>
      <c r="N214" s="45"/>
      <c r="O214" s="46"/>
      <c r="P214" s="47">
        <f t="shared" si="58"/>
        <v>-0.06966087492121549</v>
      </c>
      <c r="Q214" s="47">
        <f t="shared" si="59"/>
        <v>-0.052208468483931965</v>
      </c>
      <c r="R214" s="47">
        <f t="shared" si="60"/>
        <v>-0.9961969233988566</v>
      </c>
      <c r="S214" s="48">
        <f t="shared" si="61"/>
        <v>216.85031711940061</v>
      </c>
      <c r="T214" s="48">
        <f t="shared" si="68"/>
        <v>-85.00583060689412</v>
      </c>
      <c r="U214" s="49">
        <f t="shared" si="62"/>
        <v>216.85031711940061</v>
      </c>
      <c r="V214" s="48">
        <f t="shared" si="67"/>
        <v>126.85031711940061</v>
      </c>
      <c r="W214" s="50">
        <f t="shared" si="63"/>
        <v>4.994169393105878</v>
      </c>
      <c r="X214" s="51"/>
      <c r="Y214" s="52"/>
      <c r="Z214" s="53"/>
      <c r="AA214" s="40">
        <v>0</v>
      </c>
      <c r="AB214" s="43">
        <v>62</v>
      </c>
      <c r="AC214" s="54">
        <v>64.5</v>
      </c>
      <c r="AD214" s="55">
        <v>34</v>
      </c>
      <c r="AE214" s="49">
        <f t="shared" si="64"/>
        <v>152.35031711940061</v>
      </c>
      <c r="AF214" s="48">
        <f t="shared" si="66"/>
        <v>62.350317119400614</v>
      </c>
      <c r="AG214" s="48">
        <f t="shared" si="65"/>
        <v>4.994169393105878</v>
      </c>
      <c r="AH214" s="56"/>
      <c r="AI214" s="53"/>
      <c r="AJ214" s="39" t="s">
        <v>85</v>
      </c>
    </row>
    <row r="215" spans="1:35" s="39" customFormat="1" ht="12.75">
      <c r="A215" s="81">
        <f>223.85+0.16</f>
        <v>224.01</v>
      </c>
      <c r="B215" s="43" t="s">
        <v>44</v>
      </c>
      <c r="C215" s="43" t="s">
        <v>83</v>
      </c>
      <c r="D215" s="43">
        <v>5</v>
      </c>
      <c r="E215" s="40" t="s">
        <v>46</v>
      </c>
      <c r="F215" s="41">
        <v>16</v>
      </c>
      <c r="G215" s="42">
        <v>16</v>
      </c>
      <c r="H215" s="43"/>
      <c r="I215" s="44"/>
      <c r="J215" s="40">
        <v>270</v>
      </c>
      <c r="K215" s="45">
        <v>1</v>
      </c>
      <c r="L215" s="45">
        <v>180</v>
      </c>
      <c r="M215" s="45">
        <v>8</v>
      </c>
      <c r="N215" s="45"/>
      <c r="O215" s="46"/>
      <c r="P215" s="47">
        <f t="shared" si="58"/>
        <v>-0.13915190422268917</v>
      </c>
      <c r="Q215" s="47">
        <f t="shared" si="59"/>
        <v>-0.01728256081754167</v>
      </c>
      <c r="R215" s="47">
        <f t="shared" si="60"/>
        <v>-0.9901172461182299</v>
      </c>
      <c r="S215" s="48">
        <f t="shared" si="61"/>
        <v>187.0798376137986</v>
      </c>
      <c r="T215" s="48">
        <f t="shared" si="68"/>
        <v>-81.93933913248243</v>
      </c>
      <c r="U215" s="49">
        <f t="shared" si="62"/>
        <v>187.0798376137986</v>
      </c>
      <c r="V215" s="48">
        <f t="shared" si="67"/>
        <v>97.07983761379859</v>
      </c>
      <c r="W215" s="50">
        <f t="shared" si="63"/>
        <v>8.06066086751757</v>
      </c>
      <c r="X215" s="51"/>
      <c r="Y215" s="52"/>
      <c r="Z215" s="53"/>
      <c r="AA215" s="40">
        <v>0</v>
      </c>
      <c r="AB215" s="43">
        <v>62</v>
      </c>
      <c r="AC215" s="54">
        <v>76.6</v>
      </c>
      <c r="AD215" s="55">
        <v>50.9</v>
      </c>
      <c r="AE215" s="49">
        <f t="shared" si="64"/>
        <v>110.4798376137986</v>
      </c>
      <c r="AF215" s="48">
        <f t="shared" si="66"/>
        <v>20.479837613798594</v>
      </c>
      <c r="AG215" s="48">
        <f t="shared" si="65"/>
        <v>8.06066086751757</v>
      </c>
      <c r="AH215" s="56"/>
      <c r="AI215" s="53"/>
    </row>
    <row r="216" spans="1:35" s="39" customFormat="1" ht="12.75">
      <c r="A216" s="81">
        <f>224.75+0.5</f>
        <v>225.25</v>
      </c>
      <c r="B216" s="43" t="s">
        <v>44</v>
      </c>
      <c r="C216" s="43" t="s">
        <v>84</v>
      </c>
      <c r="D216" s="43">
        <v>1</v>
      </c>
      <c r="E216" s="40" t="s">
        <v>46</v>
      </c>
      <c r="F216" s="41">
        <v>50</v>
      </c>
      <c r="G216" s="42">
        <v>50</v>
      </c>
      <c r="H216" s="43"/>
      <c r="I216" s="44"/>
      <c r="J216" s="40">
        <v>90</v>
      </c>
      <c r="K216" s="45">
        <v>1</v>
      </c>
      <c r="L216" s="45">
        <v>0</v>
      </c>
      <c r="M216" s="45">
        <v>1</v>
      </c>
      <c r="N216" s="45"/>
      <c r="O216" s="46"/>
      <c r="P216" s="47">
        <f t="shared" si="58"/>
        <v>0.017449748351250485</v>
      </c>
      <c r="Q216" s="47">
        <f t="shared" si="59"/>
        <v>0.017449748351250485</v>
      </c>
      <c r="R216" s="47">
        <f t="shared" si="60"/>
        <v>-0.9996954135095479</v>
      </c>
      <c r="S216" s="48">
        <f t="shared" si="61"/>
        <v>45</v>
      </c>
      <c r="T216" s="48">
        <f t="shared" si="68"/>
        <v>-88.58593000067147</v>
      </c>
      <c r="U216" s="49">
        <f t="shared" si="62"/>
        <v>45</v>
      </c>
      <c r="V216" s="48">
        <f t="shared" si="67"/>
        <v>315</v>
      </c>
      <c r="W216" s="50">
        <f t="shared" si="63"/>
        <v>1.4140699993285324</v>
      </c>
      <c r="X216" s="51"/>
      <c r="Y216" s="52"/>
      <c r="Z216" s="53"/>
      <c r="AA216" s="40">
        <v>0</v>
      </c>
      <c r="AB216" s="43">
        <v>130</v>
      </c>
      <c r="AC216" s="54">
        <v>324.6</v>
      </c>
      <c r="AD216" s="55">
        <v>36.1</v>
      </c>
      <c r="AE216" s="49">
        <f t="shared" si="64"/>
        <v>80.39999999999998</v>
      </c>
      <c r="AF216" s="48">
        <f t="shared" si="66"/>
        <v>350.4</v>
      </c>
      <c r="AG216" s="48">
        <f t="shared" si="65"/>
        <v>1.4140699993285324</v>
      </c>
      <c r="AH216" s="56"/>
      <c r="AI216" s="53"/>
    </row>
    <row r="217" spans="1:35" s="39" customFormat="1" ht="12.75">
      <c r="A217" s="81">
        <f>0.09+226.06</f>
        <v>226.15</v>
      </c>
      <c r="B217" s="43" t="s">
        <v>44</v>
      </c>
      <c r="C217" s="43" t="s">
        <v>84</v>
      </c>
      <c r="D217" s="43">
        <v>2</v>
      </c>
      <c r="E217" s="40" t="s">
        <v>47</v>
      </c>
      <c r="F217" s="41">
        <v>9</v>
      </c>
      <c r="G217" s="42">
        <v>12</v>
      </c>
      <c r="H217" s="43"/>
      <c r="I217" s="44"/>
      <c r="J217" s="40">
        <v>270</v>
      </c>
      <c r="K217" s="45">
        <v>20</v>
      </c>
      <c r="L217" s="45">
        <v>180</v>
      </c>
      <c r="M217" s="45">
        <v>59</v>
      </c>
      <c r="N217" s="45">
        <v>80</v>
      </c>
      <c r="O217" s="46">
        <v>270</v>
      </c>
      <c r="P217" s="47">
        <f t="shared" si="58"/>
        <v>-0.8054737872487506</v>
      </c>
      <c r="Q217" s="47">
        <f t="shared" si="59"/>
        <v>-0.17615339619891315</v>
      </c>
      <c r="R217" s="47">
        <f t="shared" si="60"/>
        <v>-0.48397747841675803</v>
      </c>
      <c r="S217" s="48">
        <f t="shared" si="61"/>
        <v>192.33610067614953</v>
      </c>
      <c r="T217" s="48">
        <f t="shared" si="68"/>
        <v>-30.41239887418851</v>
      </c>
      <c r="U217" s="49">
        <f t="shared" si="62"/>
        <v>192.33610067614953</v>
      </c>
      <c r="V217" s="48">
        <f t="shared" si="67"/>
        <v>102.33610067614953</v>
      </c>
      <c r="W217" s="50">
        <f t="shared" si="63"/>
        <v>59.58760112581149</v>
      </c>
      <c r="X217" s="51">
        <f>IF(-Q217&lt;0,180-ACOS(SIN((U217-90)*PI()/180)*R217/SQRT(Q217^2+R217^2))*180/PI(),ACOS(SIN((U217-90)*PI()/180)*R217/SQRT(Q217^2+R217^2))*180/PI())</f>
        <v>156.63487654415331</v>
      </c>
      <c r="Y217" s="52">
        <f>IF(O217=90,IF(X217-N217&lt;0,X217-N217+180,X217-N217),IF(O217=270,IF(X217+N217&gt;180,X217+N217-180,X217+N217),IF(U217&lt;180,IF(O217=1,IF(X217+N217&gt;180,X217+N217-180,X217+N217),IF(X217-N217&lt;0,X217-N217+180,X217-N217)),IF(O217=1,IF(X217-N217&lt;0,X217-N217+180,X217-N217),IF(X217+N217&gt;180,X217+N217-180,X217+N217)))))</f>
        <v>56.634876544153315</v>
      </c>
      <c r="Z217" s="53" t="s">
        <v>48</v>
      </c>
      <c r="AA217" s="40">
        <v>0</v>
      </c>
      <c r="AB217" s="43">
        <v>85</v>
      </c>
      <c r="AC217" s="54">
        <v>336.6</v>
      </c>
      <c r="AD217" s="55">
        <v>47.6</v>
      </c>
      <c r="AE217" s="49">
        <f t="shared" si="64"/>
        <v>215.7361006761495</v>
      </c>
      <c r="AF217" s="48">
        <f t="shared" si="66"/>
        <v>125.7361006761495</v>
      </c>
      <c r="AG217" s="48">
        <f t="shared" si="65"/>
        <v>59.58760112581149</v>
      </c>
      <c r="AH217" s="56">
        <f>Y217</f>
        <v>56.634876544153315</v>
      </c>
      <c r="AI217" s="53" t="str">
        <f>Z217</f>
        <v>N</v>
      </c>
    </row>
    <row r="218" spans="1:35" s="39" customFormat="1" ht="21">
      <c r="A218" s="81">
        <f>0.19+226.06</f>
        <v>226.25</v>
      </c>
      <c r="B218" s="43" t="s">
        <v>44</v>
      </c>
      <c r="C218" s="43" t="s">
        <v>84</v>
      </c>
      <c r="D218" s="43">
        <v>2</v>
      </c>
      <c r="E218" s="40" t="s">
        <v>47</v>
      </c>
      <c r="F218" s="41">
        <v>19</v>
      </c>
      <c r="G218" s="42">
        <v>34</v>
      </c>
      <c r="H218" s="43"/>
      <c r="I218" s="44"/>
      <c r="J218" s="40">
        <v>90</v>
      </c>
      <c r="K218" s="45">
        <v>54</v>
      </c>
      <c r="L218" s="45">
        <v>180</v>
      </c>
      <c r="M218" s="45">
        <v>54</v>
      </c>
      <c r="N218" s="45">
        <v>30</v>
      </c>
      <c r="O218" s="46">
        <v>90</v>
      </c>
      <c r="P218" s="47">
        <f t="shared" si="58"/>
        <v>0.47552825814757677</v>
      </c>
      <c r="Q218" s="47">
        <f t="shared" si="59"/>
        <v>-0.4755282581475769</v>
      </c>
      <c r="R218" s="47">
        <f t="shared" si="60"/>
        <v>0.34549150281252644</v>
      </c>
      <c r="S218" s="48">
        <f t="shared" si="61"/>
        <v>315</v>
      </c>
      <c r="T218" s="48">
        <f t="shared" si="68"/>
        <v>27.191521721553013</v>
      </c>
      <c r="U218" s="49">
        <f t="shared" si="62"/>
        <v>135</v>
      </c>
      <c r="V218" s="48">
        <f t="shared" si="67"/>
        <v>45</v>
      </c>
      <c r="W218" s="50">
        <f t="shared" si="63"/>
        <v>62.808478278446984</v>
      </c>
      <c r="X218" s="51">
        <f>IF(-Q218&lt;0,180-ACOS(SIN((U218-90)*PI()/180)*R218/SQRT(Q218^2+R218^2))*180/PI(),ACOS(SIN((U218-90)*PI()/180)*R218/SQRT(Q218^2+R218^2))*180/PI())</f>
        <v>65.44119605454999</v>
      </c>
      <c r="Y218" s="52">
        <f>IF(O218=90,IF(X218-N218&lt;0,X218-N218+180,X218-N218),IF(O218=270,IF(X218+N218&gt;180,X218+N218-180,X218+N218),IF(U218&lt;180,IF(O218=1,IF(X218+N218&gt;180,X218+N218-180,X218+N218),IF(X218-N218&lt;0,X218-N218+180,X218-N218)),IF(O218=1,IF(X218-N218&lt;0,X218-N218+180,X218-N218),IF(X218+N218&gt;180,X218+N218-180,X218+N218)))))</f>
        <v>35.44119605454999</v>
      </c>
      <c r="Z218" s="53" t="s">
        <v>48</v>
      </c>
      <c r="AA218" s="40">
        <v>0</v>
      </c>
      <c r="AB218" s="43">
        <v>85</v>
      </c>
      <c r="AC218" s="54">
        <v>40.7</v>
      </c>
      <c r="AD218" s="55">
        <v>61.1</v>
      </c>
      <c r="AE218" s="49">
        <f t="shared" si="64"/>
        <v>94.3</v>
      </c>
      <c r="AF218" s="48">
        <f t="shared" si="66"/>
        <v>4.299999999999997</v>
      </c>
      <c r="AG218" s="48">
        <f t="shared" si="65"/>
        <v>62.808478278446984</v>
      </c>
      <c r="AH218" s="56">
        <f>Y218</f>
        <v>35.44119605454999</v>
      </c>
      <c r="AI218" s="53" t="str">
        <f>Z218</f>
        <v>N</v>
      </c>
    </row>
    <row r="219" spans="1:35" s="39" customFormat="1" ht="12.75">
      <c r="A219" s="81">
        <f>226.06+0.59</f>
        <v>226.65</v>
      </c>
      <c r="B219" s="43" t="s">
        <v>44</v>
      </c>
      <c r="C219" s="43" t="s">
        <v>84</v>
      </c>
      <c r="D219" s="43">
        <v>2</v>
      </c>
      <c r="E219" s="40" t="s">
        <v>47</v>
      </c>
      <c r="F219" s="41">
        <v>59</v>
      </c>
      <c r="G219" s="42">
        <v>65</v>
      </c>
      <c r="H219" s="43"/>
      <c r="I219" s="44"/>
      <c r="J219" s="40">
        <v>270</v>
      </c>
      <c r="K219" s="45">
        <v>80</v>
      </c>
      <c r="L219" s="45">
        <v>180</v>
      </c>
      <c r="M219" s="45">
        <v>85</v>
      </c>
      <c r="N219" s="45">
        <v>18</v>
      </c>
      <c r="O219" s="46">
        <v>270</v>
      </c>
      <c r="P219" s="47">
        <f aca="true" t="shared" si="69" ref="P219:P261">COS(K219*PI()/180)*SIN(J219*PI()/180)*(SIN(M219*PI()/180))-(COS(M219*PI()/180)*SIN(L219*PI()/180))*(SIN(K219*PI()/180))</f>
        <v>-0.17298739392508952</v>
      </c>
      <c r="Q219" s="47">
        <f aca="true" t="shared" si="70" ref="Q219:Q261">(SIN(K219*PI()/180))*(COS(M219*PI()/180)*COS(L219*PI()/180))-(SIN(M219*PI()/180))*(COS(K219*PI()/180)*COS(J219*PI()/180))</f>
        <v>-0.08583165117743122</v>
      </c>
      <c r="R219" s="47">
        <f aca="true" t="shared" si="71" ref="R219:R261">(COS(K219*PI()/180)*COS(J219*PI()/180))*(COS(M219*PI()/180)*SIN(L219*PI()/180))-(COS(K219*PI()/180)*SIN(J219*PI()/180))*(COS(M219*PI()/180)*COS(L219*PI()/180))</f>
        <v>-0.01513443590133862</v>
      </c>
      <c r="S219" s="48">
        <f aca="true" t="shared" si="72" ref="S219:S261">IF(P219=0,IF(Q219&gt;=0,90,270),IF(P219&gt;0,IF(Q219&gt;=0,ATAN(Q219/P219)*180/PI(),ATAN(Q219/P219)*180/PI()+360),ATAN(Q219/P219)*180/PI()+180))</f>
        <v>206.38935990889308</v>
      </c>
      <c r="T219" s="48">
        <f t="shared" si="68"/>
        <v>-4.481216309373587</v>
      </c>
      <c r="U219" s="49">
        <f aca="true" t="shared" si="73" ref="U219:U261">IF(R219&lt;0,S219,IF(S219+180&gt;=360,S219-180,S219+180))</f>
        <v>206.38935990889308</v>
      </c>
      <c r="V219" s="48">
        <f t="shared" si="67"/>
        <v>116.38935990889308</v>
      </c>
      <c r="W219" s="50">
        <f aca="true" t="shared" si="74" ref="W219:W261">IF(R219&lt;0,90+T219,90-T219)</f>
        <v>85.5187836906264</v>
      </c>
      <c r="X219" s="51">
        <f>IF(-Q219&lt;0,180-ACOS(SIN((U219-90)*PI()/180)*R219/SQRT(Q219^2+R219^2))*180/PI(),ACOS(SIN((U219-90)*PI()/180)*R219/SQRT(Q219^2+R219^2))*180/PI())</f>
        <v>98.94887276574403</v>
      </c>
      <c r="Y219" s="52">
        <f>IF(O219=90,IF(X219-N219&lt;0,X219-N219+180,X219-N219),IF(O219=270,IF(X219+N219&gt;180,X219+N219-180,X219+N219),IF(U219&lt;180,IF(O219=1,IF(X219+N219&gt;180,X219+N219-180,X219+N219),IF(X219-N219&lt;0,X219-N219+180,X219-N219)),IF(O219=1,IF(X219-N219&lt;0,X219-N219+180,X219-N219),IF(X219+N219&gt;180,X219+N219-180,X219+N219)))))</f>
        <v>116.94887276574403</v>
      </c>
      <c r="Z219" s="53" t="s">
        <v>48</v>
      </c>
      <c r="AA219" s="40">
        <v>0</v>
      </c>
      <c r="AB219" s="43">
        <v>85</v>
      </c>
      <c r="AC219" s="54">
        <v>270.8</v>
      </c>
      <c r="AD219" s="55">
        <v>81.7</v>
      </c>
      <c r="AE219" s="49">
        <f aca="true" t="shared" si="75" ref="AE219:AE261">IF(AD219&gt;=0,IF(U219&gt;=AC219,U219-AC219,U219-AC219+360),IF((U219-AC219-180)&lt;0,IF(U219-AC219+180&lt;0,U219-AC219+540,U219-AC219+180),U219-AC219-180))</f>
        <v>295.5893599088931</v>
      </c>
      <c r="AF219" s="48">
        <f t="shared" si="66"/>
        <v>205.58935990889307</v>
      </c>
      <c r="AG219" s="48">
        <f aca="true" t="shared" si="76" ref="AG219:AG261">W219</f>
        <v>85.5187836906264</v>
      </c>
      <c r="AH219" s="56">
        <f>Y219</f>
        <v>116.94887276574403</v>
      </c>
      <c r="AI219" s="53" t="str">
        <f>Z219</f>
        <v>N</v>
      </c>
    </row>
    <row r="220" spans="1:35" s="39" customFormat="1" ht="21">
      <c r="A220" s="81">
        <f>0.42+228.25</f>
        <v>228.67</v>
      </c>
      <c r="B220" s="43" t="s">
        <v>44</v>
      </c>
      <c r="C220" s="43" t="s">
        <v>84</v>
      </c>
      <c r="D220" s="43">
        <v>4</v>
      </c>
      <c r="E220" s="40" t="s">
        <v>46</v>
      </c>
      <c r="F220" s="41">
        <v>42</v>
      </c>
      <c r="G220" s="42">
        <v>42.5</v>
      </c>
      <c r="H220" s="43"/>
      <c r="I220" s="44"/>
      <c r="J220" s="40">
        <v>270</v>
      </c>
      <c r="K220" s="45">
        <v>6</v>
      </c>
      <c r="L220" s="45">
        <v>0</v>
      </c>
      <c r="M220" s="45">
        <v>8</v>
      </c>
      <c r="N220" s="45"/>
      <c r="O220" s="46"/>
      <c r="P220" s="47">
        <f t="shared" si="69"/>
        <v>-0.13841069615108434</v>
      </c>
      <c r="Q220" s="47">
        <f t="shared" si="70"/>
        <v>0.10351119944858339</v>
      </c>
      <c r="R220" s="47">
        <f t="shared" si="71"/>
        <v>0.9848432766475461</v>
      </c>
      <c r="S220" s="48">
        <f t="shared" si="72"/>
        <v>143.20882089165738</v>
      </c>
      <c r="T220" s="48">
        <f t="shared" si="68"/>
        <v>80.04621733697256</v>
      </c>
      <c r="U220" s="49">
        <f t="shared" si="73"/>
        <v>323.2088208916574</v>
      </c>
      <c r="V220" s="48">
        <f t="shared" si="67"/>
        <v>233.2088208916574</v>
      </c>
      <c r="W220" s="50">
        <f t="shared" si="74"/>
        <v>9.95378266302744</v>
      </c>
      <c r="X220" s="51"/>
      <c r="Y220" s="52"/>
      <c r="Z220" s="53"/>
      <c r="AA220" s="40">
        <v>0</v>
      </c>
      <c r="AB220" s="43">
        <v>98</v>
      </c>
      <c r="AC220" s="54">
        <v>36.7</v>
      </c>
      <c r="AD220" s="55">
        <v>85.6</v>
      </c>
      <c r="AE220" s="49">
        <f t="shared" si="75"/>
        <v>286.5088208916574</v>
      </c>
      <c r="AF220" s="48">
        <f t="shared" si="66"/>
        <v>196.50882089165742</v>
      </c>
      <c r="AG220" s="48">
        <f t="shared" si="76"/>
        <v>9.95378266302744</v>
      </c>
      <c r="AH220" s="56"/>
      <c r="AI220" s="53"/>
    </row>
    <row r="221" spans="1:35" s="39" customFormat="1" ht="12.75">
      <c r="A221" s="81">
        <f>1.15+229.575</f>
        <v>230.725</v>
      </c>
      <c r="B221" s="43" t="s">
        <v>44</v>
      </c>
      <c r="C221" s="43" t="s">
        <v>84</v>
      </c>
      <c r="D221" s="43">
        <v>6</v>
      </c>
      <c r="E221" s="40" t="s">
        <v>46</v>
      </c>
      <c r="F221" s="41">
        <v>115</v>
      </c>
      <c r="G221" s="42">
        <v>115</v>
      </c>
      <c r="H221" s="43"/>
      <c r="I221" s="44"/>
      <c r="J221" s="40">
        <v>90</v>
      </c>
      <c r="K221" s="45">
        <v>2</v>
      </c>
      <c r="L221" s="45">
        <v>180</v>
      </c>
      <c r="M221" s="45">
        <v>1</v>
      </c>
      <c r="N221" s="45"/>
      <c r="O221" s="46"/>
      <c r="P221" s="47">
        <f t="shared" si="69"/>
        <v>0.017441774902830155</v>
      </c>
      <c r="Q221" s="47">
        <f t="shared" si="70"/>
        <v>-0.03489418134011367</v>
      </c>
      <c r="R221" s="47">
        <f t="shared" si="71"/>
        <v>0.9992386149554826</v>
      </c>
      <c r="S221" s="48">
        <f t="shared" si="72"/>
        <v>296.5580680165811</v>
      </c>
      <c r="T221" s="48">
        <f t="shared" si="68"/>
        <v>87.76429506217735</v>
      </c>
      <c r="U221" s="49">
        <f t="shared" si="73"/>
        <v>116.5580680165811</v>
      </c>
      <c r="V221" s="48">
        <f t="shared" si="67"/>
        <v>26.558068016581103</v>
      </c>
      <c r="W221" s="50">
        <f t="shared" si="74"/>
        <v>2.2357049378226463</v>
      </c>
      <c r="X221" s="51"/>
      <c r="Y221" s="52"/>
      <c r="Z221" s="53"/>
      <c r="AA221" s="40">
        <v>0</v>
      </c>
      <c r="AB221" s="43">
        <v>131</v>
      </c>
      <c r="AC221" s="54">
        <v>38.7</v>
      </c>
      <c r="AD221" s="55">
        <v>53.9</v>
      </c>
      <c r="AE221" s="49">
        <f t="shared" si="75"/>
        <v>77.8580680165811</v>
      </c>
      <c r="AF221" s="48">
        <f t="shared" si="66"/>
        <v>347.8580680165811</v>
      </c>
      <c r="AG221" s="48">
        <f t="shared" si="76"/>
        <v>2.2357049378226463</v>
      </c>
      <c r="AH221" s="56"/>
      <c r="AI221" s="53"/>
    </row>
    <row r="222" spans="1:35" s="39" customFormat="1" ht="21">
      <c r="A222" s="81">
        <f>229.575+0.74</f>
        <v>230.315</v>
      </c>
      <c r="B222" s="43" t="s">
        <v>44</v>
      </c>
      <c r="C222" s="43" t="s">
        <v>84</v>
      </c>
      <c r="D222" s="43">
        <v>6</v>
      </c>
      <c r="E222" s="40" t="s">
        <v>46</v>
      </c>
      <c r="F222" s="41">
        <v>74</v>
      </c>
      <c r="G222" s="42">
        <v>74</v>
      </c>
      <c r="H222" s="43"/>
      <c r="I222" s="44"/>
      <c r="J222" s="40">
        <v>270</v>
      </c>
      <c r="K222" s="45">
        <v>7</v>
      </c>
      <c r="L222" s="45">
        <v>180</v>
      </c>
      <c r="M222" s="45">
        <v>2</v>
      </c>
      <c r="N222" s="45"/>
      <c r="O222" s="46"/>
      <c r="P222" s="47">
        <f t="shared" si="69"/>
        <v>-0.03463936114628636</v>
      </c>
      <c r="Q222" s="47">
        <f t="shared" si="70"/>
        <v>-0.12179510389394452</v>
      </c>
      <c r="R222" s="47">
        <f t="shared" si="71"/>
        <v>-0.9919415193434417</v>
      </c>
      <c r="S222" s="48">
        <f t="shared" si="72"/>
        <v>254.1238852179074</v>
      </c>
      <c r="T222" s="48">
        <f t="shared" si="68"/>
        <v>-82.72531708215082</v>
      </c>
      <c r="U222" s="49">
        <f t="shared" si="73"/>
        <v>254.1238852179074</v>
      </c>
      <c r="V222" s="48">
        <f t="shared" si="67"/>
        <v>164.1238852179074</v>
      </c>
      <c r="W222" s="50">
        <f t="shared" si="74"/>
        <v>7.2746829178491765</v>
      </c>
      <c r="X222" s="51"/>
      <c r="Y222" s="52"/>
      <c r="Z222" s="53"/>
      <c r="AA222" s="40">
        <v>0</v>
      </c>
      <c r="AB222" s="43">
        <v>131</v>
      </c>
      <c r="AC222" s="54">
        <v>124.2</v>
      </c>
      <c r="AD222" s="55">
        <v>63</v>
      </c>
      <c r="AE222" s="49">
        <f t="shared" si="75"/>
        <v>129.9238852179074</v>
      </c>
      <c r="AF222" s="48">
        <f t="shared" si="66"/>
        <v>39.92388521790741</v>
      </c>
      <c r="AG222" s="48">
        <f t="shared" si="76"/>
        <v>7.2746829178491765</v>
      </c>
      <c r="AH222" s="56"/>
      <c r="AI222" s="53"/>
    </row>
    <row r="223" spans="1:35" s="39" customFormat="1" ht="12.75">
      <c r="A223" s="81">
        <f>0.12+230.885</f>
        <v>231.005</v>
      </c>
      <c r="B223" s="43" t="s">
        <v>44</v>
      </c>
      <c r="C223" s="43" t="s">
        <v>84</v>
      </c>
      <c r="D223" s="43">
        <v>7</v>
      </c>
      <c r="E223" s="40" t="s">
        <v>46</v>
      </c>
      <c r="F223" s="41">
        <v>12</v>
      </c>
      <c r="G223" s="42">
        <v>12</v>
      </c>
      <c r="H223" s="43"/>
      <c r="I223" s="44"/>
      <c r="J223" s="40">
        <v>90</v>
      </c>
      <c r="K223" s="45">
        <v>0</v>
      </c>
      <c r="L223" s="45">
        <v>180</v>
      </c>
      <c r="M223" s="45">
        <v>5</v>
      </c>
      <c r="N223" s="45"/>
      <c r="O223" s="46"/>
      <c r="P223" s="47">
        <f t="shared" si="69"/>
        <v>0.08715574274765817</v>
      </c>
      <c r="Q223" s="47">
        <f t="shared" si="70"/>
        <v>-5.336750069161486E-18</v>
      </c>
      <c r="R223" s="47">
        <f t="shared" si="71"/>
        <v>0.9961946980917455</v>
      </c>
      <c r="S223" s="48">
        <f t="shared" si="72"/>
        <v>360</v>
      </c>
      <c r="T223" s="48">
        <f t="shared" si="68"/>
        <v>85</v>
      </c>
      <c r="U223" s="49">
        <f t="shared" si="73"/>
        <v>180</v>
      </c>
      <c r="V223" s="48">
        <f t="shared" si="67"/>
        <v>90</v>
      </c>
      <c r="W223" s="50">
        <f t="shared" si="74"/>
        <v>5</v>
      </c>
      <c r="X223" s="51"/>
      <c r="Y223" s="52"/>
      <c r="Z223" s="53"/>
      <c r="AA223" s="40">
        <v>0</v>
      </c>
      <c r="AB223" s="43">
        <v>47</v>
      </c>
      <c r="AC223" s="54">
        <v>104</v>
      </c>
      <c r="AD223" s="55">
        <v>59.3</v>
      </c>
      <c r="AE223" s="49">
        <f t="shared" si="75"/>
        <v>76</v>
      </c>
      <c r="AF223" s="48">
        <f t="shared" si="66"/>
        <v>346</v>
      </c>
      <c r="AG223" s="48">
        <f t="shared" si="76"/>
        <v>5</v>
      </c>
      <c r="AH223" s="56"/>
      <c r="AI223" s="53"/>
    </row>
    <row r="224" spans="1:35" s="39" customFormat="1" ht="12.75">
      <c r="A224" s="81">
        <f>0.48+230.885</f>
        <v>231.36499999999998</v>
      </c>
      <c r="B224" s="43" t="s">
        <v>44</v>
      </c>
      <c r="C224" s="43" t="s">
        <v>84</v>
      </c>
      <c r="D224" s="43">
        <v>7</v>
      </c>
      <c r="E224" s="40" t="s">
        <v>47</v>
      </c>
      <c r="F224" s="41">
        <v>48</v>
      </c>
      <c r="G224" s="42">
        <v>52</v>
      </c>
      <c r="H224" s="43"/>
      <c r="I224" s="44"/>
      <c r="J224" s="40">
        <v>90</v>
      </c>
      <c r="K224" s="45">
        <v>67</v>
      </c>
      <c r="L224" s="45">
        <v>180</v>
      </c>
      <c r="M224" s="45">
        <v>61</v>
      </c>
      <c r="N224" s="45">
        <v>5</v>
      </c>
      <c r="O224" s="46">
        <v>270</v>
      </c>
      <c r="P224" s="47">
        <f t="shared" si="69"/>
        <v>0.3417411451695343</v>
      </c>
      <c r="Q224" s="47">
        <f t="shared" si="70"/>
        <v>-0.4462696084371878</v>
      </c>
      <c r="R224" s="47">
        <f t="shared" si="71"/>
        <v>0.18943021002130764</v>
      </c>
      <c r="S224" s="48">
        <f t="shared" si="72"/>
        <v>307.4439114188363</v>
      </c>
      <c r="T224" s="48">
        <f t="shared" si="68"/>
        <v>18.624398449651782</v>
      </c>
      <c r="U224" s="49">
        <f t="shared" si="73"/>
        <v>127.44391141883631</v>
      </c>
      <c r="V224" s="48">
        <f t="shared" si="67"/>
        <v>37.44391141883631</v>
      </c>
      <c r="W224" s="50">
        <f t="shared" si="74"/>
        <v>71.37560155034822</v>
      </c>
      <c r="X224" s="51">
        <f>IF(-Q224&lt;0,180-ACOS(SIN((U224-90)*PI()/180)*R224/SQRT(Q224^2+R224^2))*180/PI(),ACOS(SIN((U224-90)*PI()/180)*R224/SQRT(Q224^2+R224^2))*180/PI())</f>
        <v>76.25751605714196</v>
      </c>
      <c r="Y224" s="52">
        <f>IF(O224=90,IF(X224-N224&lt;0,X224-N224+180,X224-N224),IF(O224=270,IF(X224+N224&gt;180,X224+N224-180,X224+N224),IF(U224&lt;180,IF(O224=1,IF(X224+N224&gt;180,X224+N224-180,X224+N224),IF(X224-N224&lt;0,X224-N224+180,X224-N224)),IF(O224=1,IF(X224-N224&lt;0,X224-N224+180,X224-N224),IF(X224+N224&gt;180,X224+N224-180,X224+N224)))))</f>
        <v>81.25751605714196</v>
      </c>
      <c r="Z224" s="53" t="s">
        <v>48</v>
      </c>
      <c r="AA224" s="40">
        <v>47</v>
      </c>
      <c r="AB224" s="43">
        <v>61</v>
      </c>
      <c r="AC224" s="54">
        <v>6.8</v>
      </c>
      <c r="AD224" s="55">
        <v>68.8</v>
      </c>
      <c r="AE224" s="49">
        <f t="shared" si="75"/>
        <v>120.64391141883631</v>
      </c>
      <c r="AF224" s="48">
        <f t="shared" si="66"/>
        <v>30.64391141883631</v>
      </c>
      <c r="AG224" s="48">
        <f t="shared" si="76"/>
        <v>71.37560155034822</v>
      </c>
      <c r="AH224" s="56">
        <f>Y224</f>
        <v>81.25751605714196</v>
      </c>
      <c r="AI224" s="53" t="str">
        <f>Z224</f>
        <v>N</v>
      </c>
    </row>
    <row r="225" spans="1:35" s="39" customFormat="1" ht="12.75">
      <c r="A225" s="81">
        <f>230.885+1.19</f>
        <v>232.075</v>
      </c>
      <c r="B225" s="43" t="s">
        <v>44</v>
      </c>
      <c r="C225" s="43" t="s">
        <v>84</v>
      </c>
      <c r="D225" s="43">
        <v>7</v>
      </c>
      <c r="E225" s="40" t="s">
        <v>46</v>
      </c>
      <c r="F225" s="41">
        <v>119</v>
      </c>
      <c r="G225" s="42">
        <v>119</v>
      </c>
      <c r="H225" s="43"/>
      <c r="I225" s="44"/>
      <c r="J225" s="40">
        <v>270</v>
      </c>
      <c r="K225" s="45">
        <v>1</v>
      </c>
      <c r="L225" s="45">
        <v>180</v>
      </c>
      <c r="M225" s="45">
        <v>5</v>
      </c>
      <c r="N225" s="45"/>
      <c r="O225" s="46"/>
      <c r="P225" s="47">
        <f t="shared" si="69"/>
        <v>-0.08714246850588939</v>
      </c>
      <c r="Q225" s="47">
        <f t="shared" si="70"/>
        <v>-0.017385994761764067</v>
      </c>
      <c r="R225" s="47">
        <f t="shared" si="71"/>
        <v>-0.9960429728140489</v>
      </c>
      <c r="S225" s="48">
        <f t="shared" si="72"/>
        <v>191.28306182052995</v>
      </c>
      <c r="T225" s="48">
        <f t="shared" si="68"/>
        <v>-84.90197245232014</v>
      </c>
      <c r="U225" s="49">
        <f t="shared" si="73"/>
        <v>191.28306182052995</v>
      </c>
      <c r="V225" s="48">
        <f t="shared" si="67"/>
        <v>101.28306182052995</v>
      </c>
      <c r="W225" s="50">
        <f t="shared" si="74"/>
        <v>5.098027547679862</v>
      </c>
      <c r="X225" s="51"/>
      <c r="Y225" s="52"/>
      <c r="Z225" s="53"/>
      <c r="AA225" s="40">
        <v>110</v>
      </c>
      <c r="AB225" s="43">
        <v>120</v>
      </c>
      <c r="AC225" s="54">
        <v>22.3</v>
      </c>
      <c r="AD225" s="55">
        <v>51.5</v>
      </c>
      <c r="AE225" s="49">
        <f t="shared" si="75"/>
        <v>168.98306182052994</v>
      </c>
      <c r="AF225" s="48">
        <f t="shared" si="66"/>
        <v>78.98306182052994</v>
      </c>
      <c r="AG225" s="48">
        <f t="shared" si="76"/>
        <v>5.098027547679862</v>
      </c>
      <c r="AH225" s="56"/>
      <c r="AI225" s="53"/>
    </row>
    <row r="226" spans="1:35" s="39" customFormat="1" ht="21">
      <c r="A226" s="81">
        <f>0.41+233.52</f>
        <v>233.93</v>
      </c>
      <c r="B226" s="43" t="s">
        <v>44</v>
      </c>
      <c r="C226" s="43" t="s">
        <v>84</v>
      </c>
      <c r="D226" s="43">
        <v>9</v>
      </c>
      <c r="E226" s="40" t="s">
        <v>46</v>
      </c>
      <c r="F226" s="41">
        <v>41</v>
      </c>
      <c r="G226" s="42">
        <v>41</v>
      </c>
      <c r="H226" s="43"/>
      <c r="I226" s="44"/>
      <c r="J226" s="40">
        <v>90</v>
      </c>
      <c r="K226" s="45">
        <v>7</v>
      </c>
      <c r="L226" s="45">
        <v>0</v>
      </c>
      <c r="M226" s="45">
        <v>2</v>
      </c>
      <c r="N226" s="45"/>
      <c r="O226" s="46"/>
      <c r="P226" s="47">
        <f t="shared" si="69"/>
        <v>0.034639361146286345</v>
      </c>
      <c r="Q226" s="47">
        <f t="shared" si="70"/>
        <v>0.12179510389394452</v>
      </c>
      <c r="R226" s="47">
        <f t="shared" si="71"/>
        <v>-0.9919415193434417</v>
      </c>
      <c r="S226" s="48">
        <f t="shared" si="72"/>
        <v>74.12388521790743</v>
      </c>
      <c r="T226" s="48">
        <f t="shared" si="68"/>
        <v>-82.72531708215082</v>
      </c>
      <c r="U226" s="49">
        <f t="shared" si="73"/>
        <v>74.12388521790743</v>
      </c>
      <c r="V226" s="48">
        <f t="shared" si="67"/>
        <v>344.1238852179074</v>
      </c>
      <c r="W226" s="50">
        <f t="shared" si="74"/>
        <v>7.2746829178491765</v>
      </c>
      <c r="X226" s="51"/>
      <c r="Y226" s="52"/>
      <c r="Z226" s="53"/>
      <c r="AA226" s="40">
        <v>38</v>
      </c>
      <c r="AB226" s="43">
        <v>52</v>
      </c>
      <c r="AC226" s="54">
        <v>326.7</v>
      </c>
      <c r="AD226" s="55">
        <v>45.2</v>
      </c>
      <c r="AE226" s="49">
        <f t="shared" si="75"/>
        <v>107.42388521790744</v>
      </c>
      <c r="AF226" s="48">
        <f t="shared" si="66"/>
        <v>17.42388521790744</v>
      </c>
      <c r="AG226" s="48">
        <f t="shared" si="76"/>
        <v>7.2746829178491765</v>
      </c>
      <c r="AH226" s="56"/>
      <c r="AI226" s="53"/>
    </row>
    <row r="227" spans="1:35" s="39" customFormat="1" ht="12.75">
      <c r="A227" s="81">
        <f>0.17+234.055</f>
        <v>234.225</v>
      </c>
      <c r="B227" s="43" t="s">
        <v>44</v>
      </c>
      <c r="C227" s="43" t="s">
        <v>84</v>
      </c>
      <c r="D227" s="43" t="s">
        <v>52</v>
      </c>
      <c r="E227" s="40" t="s">
        <v>46</v>
      </c>
      <c r="F227" s="41">
        <v>17</v>
      </c>
      <c r="G227" s="42">
        <v>17</v>
      </c>
      <c r="H227" s="43"/>
      <c r="I227" s="44"/>
      <c r="J227" s="40">
        <v>270</v>
      </c>
      <c r="K227" s="45">
        <v>3</v>
      </c>
      <c r="L227" s="45">
        <v>0</v>
      </c>
      <c r="M227" s="45">
        <v>7</v>
      </c>
      <c r="N227" s="45"/>
      <c r="O227" s="46"/>
      <c r="P227" s="47">
        <f t="shared" si="69"/>
        <v>-0.12170232570552782</v>
      </c>
      <c r="Q227" s="47">
        <f t="shared" si="70"/>
        <v>0.051945851961402535</v>
      </c>
      <c r="R227" s="47">
        <f t="shared" si="71"/>
        <v>0.991185901636016</v>
      </c>
      <c r="S227" s="48">
        <f t="shared" si="72"/>
        <v>156.8858966206344</v>
      </c>
      <c r="T227" s="48">
        <f t="shared" si="68"/>
        <v>82.39589554630736</v>
      </c>
      <c r="U227" s="49">
        <f t="shared" si="73"/>
        <v>336.8858966206344</v>
      </c>
      <c r="V227" s="48">
        <f t="shared" si="67"/>
        <v>246.8858966206344</v>
      </c>
      <c r="W227" s="50">
        <f t="shared" si="74"/>
        <v>7.604104453692642</v>
      </c>
      <c r="X227" s="51"/>
      <c r="Y227" s="52"/>
      <c r="Z227" s="53"/>
      <c r="AA227" s="40">
        <v>9</v>
      </c>
      <c r="AB227" s="43">
        <v>31</v>
      </c>
      <c r="AC227" s="54"/>
      <c r="AD227" s="55"/>
      <c r="AE227" s="49">
        <f t="shared" si="75"/>
        <v>336.8858966206344</v>
      </c>
      <c r="AF227" s="48">
        <f t="shared" si="66"/>
        <v>246.8858966206344</v>
      </c>
      <c r="AG227" s="48">
        <f t="shared" si="76"/>
        <v>7.604104453692642</v>
      </c>
      <c r="AH227" s="56"/>
      <c r="AI227" s="53"/>
    </row>
    <row r="228" spans="1:36" s="39" customFormat="1" ht="12.75">
      <c r="A228" s="81">
        <f>224.75+0.44</f>
        <v>225.19</v>
      </c>
      <c r="B228" s="43" t="s">
        <v>44</v>
      </c>
      <c r="C228" s="43" t="s">
        <v>84</v>
      </c>
      <c r="D228" s="43">
        <v>1</v>
      </c>
      <c r="E228" s="40" t="s">
        <v>86</v>
      </c>
      <c r="F228" s="41">
        <v>44</v>
      </c>
      <c r="G228" s="42">
        <v>50</v>
      </c>
      <c r="H228" s="43"/>
      <c r="I228" s="44"/>
      <c r="J228" s="40"/>
      <c r="K228" s="45"/>
      <c r="L228" s="45"/>
      <c r="M228" s="45"/>
      <c r="N228" s="45"/>
      <c r="O228" s="46"/>
      <c r="P228" s="47"/>
      <c r="Q228" s="47"/>
      <c r="R228" s="47"/>
      <c r="S228" s="48"/>
      <c r="T228" s="48"/>
      <c r="U228" s="49"/>
      <c r="V228" s="48"/>
      <c r="W228" s="50"/>
      <c r="X228" s="51"/>
      <c r="Y228" s="52"/>
      <c r="Z228" s="53"/>
      <c r="AA228" s="40"/>
      <c r="AB228" s="43"/>
      <c r="AC228" s="54"/>
      <c r="AD228" s="55"/>
      <c r="AE228" s="49"/>
      <c r="AF228" s="48"/>
      <c r="AG228" s="48"/>
      <c r="AH228" s="56"/>
      <c r="AI228" s="53"/>
      <c r="AJ228" s="39" t="s">
        <v>87</v>
      </c>
    </row>
    <row r="229" spans="1:36" s="39" customFormat="1" ht="21">
      <c r="A229" s="81">
        <f>233.52</f>
        <v>233.52</v>
      </c>
      <c r="B229" s="43" t="s">
        <v>44</v>
      </c>
      <c r="C229" s="43" t="s">
        <v>84</v>
      </c>
      <c r="D229" s="43">
        <v>9</v>
      </c>
      <c r="E229" s="40" t="s">
        <v>86</v>
      </c>
      <c r="F229" s="41">
        <v>0</v>
      </c>
      <c r="G229" s="42">
        <v>34</v>
      </c>
      <c r="H229" s="43"/>
      <c r="I229" s="44"/>
      <c r="J229" s="40"/>
      <c r="K229" s="45"/>
      <c r="L229" s="45"/>
      <c r="M229" s="45"/>
      <c r="N229" s="45"/>
      <c r="O229" s="46"/>
      <c r="P229" s="47"/>
      <c r="Q229" s="47"/>
      <c r="R229" s="47"/>
      <c r="S229" s="48"/>
      <c r="T229" s="48"/>
      <c r="U229" s="49"/>
      <c r="V229" s="48"/>
      <c r="W229" s="50"/>
      <c r="X229" s="51"/>
      <c r="Y229" s="52"/>
      <c r="Z229" s="53"/>
      <c r="AA229" s="40"/>
      <c r="AB229" s="43"/>
      <c r="AC229" s="54"/>
      <c r="AD229" s="55"/>
      <c r="AE229" s="49"/>
      <c r="AF229" s="48"/>
      <c r="AG229" s="48"/>
      <c r="AH229" s="56"/>
      <c r="AI229" s="53"/>
      <c r="AJ229" s="39" t="s">
        <v>88</v>
      </c>
    </row>
    <row r="230" spans="1:35" s="39" customFormat="1" ht="21">
      <c r="A230" s="81">
        <f>234.25+0.65</f>
        <v>234.9</v>
      </c>
      <c r="B230" s="43" t="s">
        <v>44</v>
      </c>
      <c r="C230" s="43" t="s">
        <v>89</v>
      </c>
      <c r="D230" s="43">
        <v>9</v>
      </c>
      <c r="E230" s="40" t="s">
        <v>46</v>
      </c>
      <c r="F230" s="41">
        <v>65</v>
      </c>
      <c r="G230" s="42">
        <v>67</v>
      </c>
      <c r="H230" s="43"/>
      <c r="I230" s="44"/>
      <c r="J230" s="40">
        <v>270</v>
      </c>
      <c r="K230" s="45">
        <v>18</v>
      </c>
      <c r="L230" s="45">
        <v>180</v>
      </c>
      <c r="M230" s="45">
        <v>2</v>
      </c>
      <c r="N230" s="45"/>
      <c r="O230" s="46"/>
      <c r="P230" s="47">
        <f t="shared" si="69"/>
        <v>-0.0331913937543348</v>
      </c>
      <c r="Q230" s="47">
        <f t="shared" si="70"/>
        <v>-0.30882874957133394</v>
      </c>
      <c r="R230" s="47">
        <f t="shared" si="71"/>
        <v>-0.9504771583621137</v>
      </c>
      <c r="S230" s="48">
        <f t="shared" si="72"/>
        <v>263.86567831169236</v>
      </c>
      <c r="T230" s="48">
        <f t="shared" si="68"/>
        <v>-71.90308099254865</v>
      </c>
      <c r="U230" s="49">
        <f t="shared" si="73"/>
        <v>263.86567831169236</v>
      </c>
      <c r="V230" s="48">
        <f t="shared" si="67"/>
        <v>173.86567831169236</v>
      </c>
      <c r="W230" s="50">
        <f t="shared" si="74"/>
        <v>18.096919007451348</v>
      </c>
      <c r="X230" s="51"/>
      <c r="Y230" s="52"/>
      <c r="Z230" s="53"/>
      <c r="AA230" s="40">
        <v>66</v>
      </c>
      <c r="AB230" s="43">
        <v>80</v>
      </c>
      <c r="AC230" s="54">
        <v>82.9</v>
      </c>
      <c r="AD230" s="55">
        <v>52.8</v>
      </c>
      <c r="AE230" s="49">
        <f t="shared" si="75"/>
        <v>180.96567831169236</v>
      </c>
      <c r="AF230" s="48">
        <f t="shared" si="66"/>
        <v>90.96567831169236</v>
      </c>
      <c r="AG230" s="48">
        <f t="shared" si="76"/>
        <v>18.096919007451348</v>
      </c>
      <c r="AH230" s="56"/>
      <c r="AI230" s="53"/>
    </row>
    <row r="231" spans="1:35" s="39" customFormat="1" ht="21">
      <c r="A231" s="81">
        <f>246.26+0.93</f>
        <v>247.19</v>
      </c>
      <c r="B231" s="43" t="s">
        <v>44</v>
      </c>
      <c r="C231" s="43" t="s">
        <v>90</v>
      </c>
      <c r="D231" s="43">
        <v>3</v>
      </c>
      <c r="E231" s="40" t="s">
        <v>47</v>
      </c>
      <c r="F231" s="41">
        <v>93</v>
      </c>
      <c r="G231" s="42">
        <v>95</v>
      </c>
      <c r="H231" s="43"/>
      <c r="I231" s="44"/>
      <c r="J231" s="40">
        <v>270</v>
      </c>
      <c r="K231" s="45">
        <v>11</v>
      </c>
      <c r="L231" s="45">
        <v>180</v>
      </c>
      <c r="M231" s="45">
        <v>5</v>
      </c>
      <c r="N231" s="45"/>
      <c r="O231" s="46"/>
      <c r="P231" s="47">
        <f t="shared" si="69"/>
        <v>-0.08555444627467287</v>
      </c>
      <c r="Q231" s="47">
        <f t="shared" si="70"/>
        <v>-0.1900829095423263</v>
      </c>
      <c r="R231" s="47">
        <f t="shared" si="71"/>
        <v>-0.9778917956532961</v>
      </c>
      <c r="S231" s="48">
        <f t="shared" si="72"/>
        <v>245.7679591780302</v>
      </c>
      <c r="T231" s="48">
        <f t="shared" si="68"/>
        <v>-77.96682320895555</v>
      </c>
      <c r="U231" s="49">
        <f t="shared" si="73"/>
        <v>245.7679591780302</v>
      </c>
      <c r="V231" s="48">
        <f t="shared" si="67"/>
        <v>155.7679591780302</v>
      </c>
      <c r="W231" s="50">
        <f t="shared" si="74"/>
        <v>12.033176791044454</v>
      </c>
      <c r="X231" s="51"/>
      <c r="Y231" s="52"/>
      <c r="Z231" s="53"/>
      <c r="AA231" s="40">
        <v>93</v>
      </c>
      <c r="AB231" s="43">
        <v>95</v>
      </c>
      <c r="AC231" s="54">
        <v>85.7</v>
      </c>
      <c r="AD231" s="55">
        <v>12.6</v>
      </c>
      <c r="AE231" s="49">
        <f t="shared" si="75"/>
        <v>160.0679591780302</v>
      </c>
      <c r="AF231" s="48">
        <f aca="true" t="shared" si="77" ref="AF231:AF261">IF(AE231-90&lt;0,AE231+270,AE231-90)</f>
        <v>70.06795917803021</v>
      </c>
      <c r="AG231" s="48">
        <f t="shared" si="76"/>
        <v>12.033176791044454</v>
      </c>
      <c r="AH231" s="56"/>
      <c r="AI231" s="53"/>
    </row>
    <row r="232" spans="1:35" s="39" customFormat="1" ht="12.75">
      <c r="A232" s="81">
        <f>247.61+0.49</f>
        <v>248.10000000000002</v>
      </c>
      <c r="B232" s="43" t="s">
        <v>44</v>
      </c>
      <c r="C232" s="43" t="s">
        <v>90</v>
      </c>
      <c r="D232" s="43">
        <v>4</v>
      </c>
      <c r="E232" s="40" t="s">
        <v>47</v>
      </c>
      <c r="F232" s="41">
        <v>49</v>
      </c>
      <c r="G232" s="42">
        <v>54</v>
      </c>
      <c r="H232" s="43"/>
      <c r="I232" s="44"/>
      <c r="J232" s="40">
        <v>270</v>
      </c>
      <c r="K232" s="45">
        <v>76</v>
      </c>
      <c r="L232" s="45">
        <v>165</v>
      </c>
      <c r="M232" s="45">
        <v>0</v>
      </c>
      <c r="N232" s="45"/>
      <c r="O232" s="46"/>
      <c r="P232" s="47">
        <f t="shared" si="69"/>
        <v>-0.25113101334181054</v>
      </c>
      <c r="Q232" s="47">
        <f t="shared" si="70"/>
        <v>-0.9372337011478934</v>
      </c>
      <c r="R232" s="47">
        <f t="shared" si="71"/>
        <v>-0.2336786069045269</v>
      </c>
      <c r="S232" s="48">
        <f t="shared" si="72"/>
        <v>255</v>
      </c>
      <c r="T232" s="48">
        <f t="shared" si="68"/>
        <v>-13.54081794067886</v>
      </c>
      <c r="U232" s="49">
        <f t="shared" si="73"/>
        <v>255</v>
      </c>
      <c r="V232" s="48">
        <f aca="true" t="shared" si="78" ref="V232:V261">IF(U232-90&lt;0,U232+270,U232-90)</f>
        <v>165</v>
      </c>
      <c r="W232" s="50">
        <f t="shared" si="74"/>
        <v>76.45918205932114</v>
      </c>
      <c r="X232" s="51"/>
      <c r="Y232" s="52"/>
      <c r="Z232" s="53"/>
      <c r="AA232" s="40">
        <v>49</v>
      </c>
      <c r="AB232" s="43">
        <v>54</v>
      </c>
      <c r="AC232" s="54">
        <v>71</v>
      </c>
      <c r="AD232" s="55">
        <v>34.6</v>
      </c>
      <c r="AE232" s="49">
        <f t="shared" si="75"/>
        <v>184</v>
      </c>
      <c r="AF232" s="48">
        <f t="shared" si="77"/>
        <v>94</v>
      </c>
      <c r="AG232" s="48">
        <f t="shared" si="76"/>
        <v>76.45918205932114</v>
      </c>
      <c r="AH232" s="56"/>
      <c r="AI232" s="53"/>
    </row>
    <row r="233" spans="1:35" s="39" customFormat="1" ht="12.75">
      <c r="A233" s="81">
        <f>0.61+247.61</f>
        <v>248.22000000000003</v>
      </c>
      <c r="B233" s="43" t="s">
        <v>44</v>
      </c>
      <c r="C233" s="43" t="s">
        <v>90</v>
      </c>
      <c r="D233" s="43">
        <v>4</v>
      </c>
      <c r="E233" s="40" t="s">
        <v>47</v>
      </c>
      <c r="F233" s="41">
        <v>61</v>
      </c>
      <c r="G233" s="42">
        <v>64</v>
      </c>
      <c r="H233" s="43"/>
      <c r="I233" s="44"/>
      <c r="J233" s="40">
        <v>90</v>
      </c>
      <c r="K233" s="45">
        <v>81</v>
      </c>
      <c r="L233" s="45">
        <v>140</v>
      </c>
      <c r="M233" s="45">
        <v>0</v>
      </c>
      <c r="N233" s="45"/>
      <c r="O233" s="46"/>
      <c r="P233" s="47">
        <f t="shared" si="69"/>
        <v>-0.6348738275664133</v>
      </c>
      <c r="Q233" s="47">
        <f t="shared" si="70"/>
        <v>-0.7566131648463097</v>
      </c>
      <c r="R233" s="47">
        <f t="shared" si="71"/>
        <v>0.11983575265635892</v>
      </c>
      <c r="S233" s="48">
        <f t="shared" si="72"/>
        <v>230</v>
      </c>
      <c r="T233" s="48">
        <f t="shared" si="68"/>
        <v>6.917856106319335</v>
      </c>
      <c r="U233" s="49">
        <f t="shared" si="73"/>
        <v>50</v>
      </c>
      <c r="V233" s="48">
        <f t="shared" si="78"/>
        <v>320</v>
      </c>
      <c r="W233" s="50">
        <f t="shared" si="74"/>
        <v>83.08214389368067</v>
      </c>
      <c r="X233" s="51"/>
      <c r="Y233" s="52"/>
      <c r="Z233" s="53"/>
      <c r="AA233" s="40">
        <v>61</v>
      </c>
      <c r="AB233" s="43">
        <v>64</v>
      </c>
      <c r="AC233" s="54">
        <v>70.2</v>
      </c>
      <c r="AD233" s="55">
        <v>36.4</v>
      </c>
      <c r="AE233" s="49">
        <f t="shared" si="75"/>
        <v>339.8</v>
      </c>
      <c r="AF233" s="48">
        <f t="shared" si="77"/>
        <v>249.8</v>
      </c>
      <c r="AG233" s="48">
        <f t="shared" si="76"/>
        <v>83.08214389368067</v>
      </c>
      <c r="AH233" s="56"/>
      <c r="AI233" s="53"/>
    </row>
    <row r="234" spans="1:35" s="39" customFormat="1" ht="21">
      <c r="A234" s="81">
        <f>247.61+0.73</f>
        <v>248.34</v>
      </c>
      <c r="B234" s="43" t="s">
        <v>44</v>
      </c>
      <c r="C234" s="43" t="s">
        <v>90</v>
      </c>
      <c r="D234" s="43">
        <v>4</v>
      </c>
      <c r="E234" s="40" t="s">
        <v>47</v>
      </c>
      <c r="F234" s="41">
        <v>73</v>
      </c>
      <c r="G234" s="42">
        <v>74</v>
      </c>
      <c r="H234" s="43"/>
      <c r="I234" s="44"/>
      <c r="J234" s="40">
        <v>90</v>
      </c>
      <c r="K234" s="45">
        <v>58</v>
      </c>
      <c r="L234" s="45">
        <v>236</v>
      </c>
      <c r="M234" s="45">
        <v>0</v>
      </c>
      <c r="N234" s="45"/>
      <c r="O234" s="46"/>
      <c r="P234" s="47">
        <f t="shared" si="69"/>
        <v>0.7030637350474477</v>
      </c>
      <c r="Q234" s="47">
        <f t="shared" si="70"/>
        <v>-0.4742224771725514</v>
      </c>
      <c r="R234" s="47">
        <f t="shared" si="71"/>
        <v>0.296327091971648</v>
      </c>
      <c r="S234" s="48">
        <f t="shared" si="72"/>
        <v>325.99999999999994</v>
      </c>
      <c r="T234" s="48">
        <f t="shared" si="68"/>
        <v>19.260563941092094</v>
      </c>
      <c r="U234" s="49">
        <f t="shared" si="73"/>
        <v>145.99999999999994</v>
      </c>
      <c r="V234" s="48">
        <f t="shared" si="78"/>
        <v>55.99999999999994</v>
      </c>
      <c r="W234" s="50">
        <f t="shared" si="74"/>
        <v>70.7394360589079</v>
      </c>
      <c r="X234" s="51"/>
      <c r="Y234" s="52"/>
      <c r="Z234" s="53"/>
      <c r="AA234" s="40">
        <v>72</v>
      </c>
      <c r="AB234" s="43">
        <v>75</v>
      </c>
      <c r="AC234" s="54">
        <v>339.3</v>
      </c>
      <c r="AD234" s="55">
        <v>33.8</v>
      </c>
      <c r="AE234" s="49">
        <f t="shared" si="75"/>
        <v>166.69999999999993</v>
      </c>
      <c r="AF234" s="48">
        <f t="shared" si="77"/>
        <v>76.69999999999993</v>
      </c>
      <c r="AG234" s="48">
        <f t="shared" si="76"/>
        <v>70.7394360589079</v>
      </c>
      <c r="AH234" s="56"/>
      <c r="AI234" s="53"/>
    </row>
    <row r="235" spans="1:35" s="39" customFormat="1" ht="12.75">
      <c r="A235" s="81">
        <f>247.61+0.73</f>
        <v>248.34</v>
      </c>
      <c r="B235" s="43" t="s">
        <v>44</v>
      </c>
      <c r="C235" s="43" t="s">
        <v>90</v>
      </c>
      <c r="D235" s="43">
        <v>4</v>
      </c>
      <c r="E235" s="40" t="s">
        <v>47</v>
      </c>
      <c r="F235" s="41">
        <v>73</v>
      </c>
      <c r="G235" s="42">
        <v>74</v>
      </c>
      <c r="H235" s="43"/>
      <c r="I235" s="44"/>
      <c r="J235" s="40">
        <v>90</v>
      </c>
      <c r="K235" s="45">
        <v>82</v>
      </c>
      <c r="L235" s="45">
        <v>230</v>
      </c>
      <c r="M235" s="45">
        <v>0</v>
      </c>
      <c r="N235" s="45"/>
      <c r="O235" s="46"/>
      <c r="P235" s="47">
        <f t="shared" si="69"/>
        <v>0.7585893512576419</v>
      </c>
      <c r="Q235" s="47">
        <f t="shared" si="70"/>
        <v>-0.6365320448552998</v>
      </c>
      <c r="R235" s="47">
        <f t="shared" si="71"/>
        <v>0.08945874489878407</v>
      </c>
      <c r="S235" s="48">
        <f t="shared" si="72"/>
        <v>320</v>
      </c>
      <c r="T235" s="48">
        <f t="shared" si="68"/>
        <v>5.16196907306981</v>
      </c>
      <c r="U235" s="49">
        <f t="shared" si="73"/>
        <v>140</v>
      </c>
      <c r="V235" s="48">
        <f t="shared" si="78"/>
        <v>50</v>
      </c>
      <c r="W235" s="50">
        <f t="shared" si="74"/>
        <v>84.83803092693019</v>
      </c>
      <c r="X235" s="51"/>
      <c r="Y235" s="52"/>
      <c r="Z235" s="53"/>
      <c r="AA235" s="40">
        <v>72</v>
      </c>
      <c r="AB235" s="43">
        <v>75</v>
      </c>
      <c r="AC235" s="54"/>
      <c r="AD235" s="55"/>
      <c r="AE235" s="49">
        <f t="shared" si="75"/>
        <v>140</v>
      </c>
      <c r="AF235" s="48">
        <f t="shared" si="77"/>
        <v>50</v>
      </c>
      <c r="AG235" s="48">
        <f t="shared" si="76"/>
        <v>84.83803092693019</v>
      </c>
      <c r="AH235" s="56"/>
      <c r="AI235" s="53"/>
    </row>
    <row r="236" spans="1:35" s="39" customFormat="1" ht="21">
      <c r="A236" s="81">
        <f>247.61+0.77</f>
        <v>248.38000000000002</v>
      </c>
      <c r="B236" s="43" t="s">
        <v>44</v>
      </c>
      <c r="C236" s="43" t="s">
        <v>90</v>
      </c>
      <c r="D236" s="43">
        <v>4</v>
      </c>
      <c r="E236" s="40" t="s">
        <v>47</v>
      </c>
      <c r="F236" s="41">
        <v>77</v>
      </c>
      <c r="G236" s="42">
        <v>79</v>
      </c>
      <c r="H236" s="43"/>
      <c r="I236" s="44"/>
      <c r="J236" s="40">
        <v>90</v>
      </c>
      <c r="K236" s="45">
        <v>43</v>
      </c>
      <c r="L236" s="45">
        <v>226</v>
      </c>
      <c r="M236" s="45">
        <v>0</v>
      </c>
      <c r="N236" s="45"/>
      <c r="O236" s="46"/>
      <c r="P236" s="47">
        <f t="shared" si="69"/>
        <v>0.490588564158645</v>
      </c>
      <c r="Q236" s="47">
        <f t="shared" si="70"/>
        <v>-0.4737558694567239</v>
      </c>
      <c r="R236" s="47">
        <f t="shared" si="71"/>
        <v>0.508040970595929</v>
      </c>
      <c r="S236" s="48">
        <f t="shared" si="72"/>
        <v>316</v>
      </c>
      <c r="T236" s="48">
        <f t="shared" si="68"/>
        <v>36.68352775394817</v>
      </c>
      <c r="U236" s="49">
        <f t="shared" si="73"/>
        <v>136</v>
      </c>
      <c r="V236" s="48">
        <f t="shared" si="78"/>
        <v>46</v>
      </c>
      <c r="W236" s="50">
        <f t="shared" si="74"/>
        <v>53.31647224605183</v>
      </c>
      <c r="X236" s="51"/>
      <c r="Y236" s="52"/>
      <c r="Z236" s="53"/>
      <c r="AA236" s="40">
        <v>77</v>
      </c>
      <c r="AB236" s="43">
        <v>79</v>
      </c>
      <c r="AC236" s="54">
        <v>2.4</v>
      </c>
      <c r="AD236" s="55">
        <v>49.2</v>
      </c>
      <c r="AE236" s="49">
        <f t="shared" si="75"/>
        <v>133.6</v>
      </c>
      <c r="AF236" s="48">
        <f t="shared" si="77"/>
        <v>43.599999999999994</v>
      </c>
      <c r="AG236" s="48">
        <f t="shared" si="76"/>
        <v>53.31647224605183</v>
      </c>
      <c r="AH236" s="56"/>
      <c r="AI236" s="53"/>
    </row>
    <row r="237" spans="1:35" s="39" customFormat="1" ht="21">
      <c r="A237" s="81">
        <f>247.61+0.77</f>
        <v>248.38000000000002</v>
      </c>
      <c r="B237" s="43" t="s">
        <v>44</v>
      </c>
      <c r="C237" s="43" t="s">
        <v>90</v>
      </c>
      <c r="D237" s="43">
        <v>4</v>
      </c>
      <c r="E237" s="40" t="s">
        <v>47</v>
      </c>
      <c r="F237" s="41">
        <v>77</v>
      </c>
      <c r="G237" s="42">
        <v>79</v>
      </c>
      <c r="H237" s="43"/>
      <c r="I237" s="44"/>
      <c r="J237" s="40">
        <v>90</v>
      </c>
      <c r="K237" s="45">
        <v>50</v>
      </c>
      <c r="L237" s="45">
        <v>234</v>
      </c>
      <c r="M237" s="45">
        <v>0</v>
      </c>
      <c r="N237" s="45"/>
      <c r="O237" s="46"/>
      <c r="P237" s="47">
        <f t="shared" si="69"/>
        <v>0.6197429729297459</v>
      </c>
      <c r="Q237" s="47">
        <f t="shared" si="70"/>
        <v>-0.45026962626593564</v>
      </c>
      <c r="R237" s="47">
        <f t="shared" si="71"/>
        <v>0.3778210773300783</v>
      </c>
      <c r="S237" s="48">
        <f t="shared" si="72"/>
        <v>324</v>
      </c>
      <c r="T237" s="48">
        <f t="shared" si="68"/>
        <v>26.252993884278112</v>
      </c>
      <c r="U237" s="49">
        <f t="shared" si="73"/>
        <v>144</v>
      </c>
      <c r="V237" s="48">
        <f t="shared" si="78"/>
        <v>54</v>
      </c>
      <c r="W237" s="50">
        <f t="shared" si="74"/>
        <v>63.74700611572189</v>
      </c>
      <c r="X237" s="51"/>
      <c r="Y237" s="52"/>
      <c r="Z237" s="53"/>
      <c r="AA237" s="40">
        <v>77</v>
      </c>
      <c r="AB237" s="43">
        <v>79</v>
      </c>
      <c r="AC237" s="54"/>
      <c r="AD237" s="55"/>
      <c r="AE237" s="49">
        <f t="shared" si="75"/>
        <v>144</v>
      </c>
      <c r="AF237" s="48">
        <f t="shared" si="77"/>
        <v>54</v>
      </c>
      <c r="AG237" s="48">
        <f t="shared" si="76"/>
        <v>63.74700611572189</v>
      </c>
      <c r="AH237" s="56"/>
      <c r="AI237" s="53"/>
    </row>
    <row r="238" spans="1:35" s="39" customFormat="1" ht="12.75">
      <c r="A238" s="81">
        <f>0.95+250.295</f>
        <v>251.24499999999998</v>
      </c>
      <c r="B238" s="43" t="s">
        <v>44</v>
      </c>
      <c r="C238" s="43" t="s">
        <v>90</v>
      </c>
      <c r="D238" s="43">
        <v>7</v>
      </c>
      <c r="E238" s="40" t="s">
        <v>46</v>
      </c>
      <c r="F238" s="41">
        <v>95</v>
      </c>
      <c r="G238" s="42">
        <v>95</v>
      </c>
      <c r="H238" s="43"/>
      <c r="I238" s="44"/>
      <c r="J238" s="40">
        <v>270</v>
      </c>
      <c r="K238" s="45">
        <v>1</v>
      </c>
      <c r="L238" s="45">
        <v>180</v>
      </c>
      <c r="M238" s="45">
        <v>3</v>
      </c>
      <c r="N238" s="45"/>
      <c r="O238" s="46"/>
      <c r="P238" s="47">
        <f t="shared" si="69"/>
        <v>-0.05232798522331313</v>
      </c>
      <c r="Q238" s="47">
        <f t="shared" si="70"/>
        <v>-0.017428488520812153</v>
      </c>
      <c r="R238" s="47">
        <f t="shared" si="71"/>
        <v>-0.9984774386394599</v>
      </c>
      <c r="S238" s="48">
        <f t="shared" si="72"/>
        <v>198.42098079972504</v>
      </c>
      <c r="T238" s="48">
        <f t="shared" si="68"/>
        <v>-86.83829951329471</v>
      </c>
      <c r="U238" s="49">
        <f t="shared" si="73"/>
        <v>198.42098079972504</v>
      </c>
      <c r="V238" s="48">
        <f t="shared" si="78"/>
        <v>108.42098079972504</v>
      </c>
      <c r="W238" s="50">
        <f t="shared" si="74"/>
        <v>3.1617004867052856</v>
      </c>
      <c r="X238" s="51"/>
      <c r="Y238" s="52"/>
      <c r="Z238" s="53"/>
      <c r="AA238" s="40">
        <v>93</v>
      </c>
      <c r="AB238" s="43">
        <v>96</v>
      </c>
      <c r="AC238" s="54">
        <v>44.6</v>
      </c>
      <c r="AD238" s="55">
        <v>46.4</v>
      </c>
      <c r="AE238" s="49">
        <f t="shared" si="75"/>
        <v>153.82098079972505</v>
      </c>
      <c r="AF238" s="48">
        <f t="shared" si="77"/>
        <v>63.82098079972505</v>
      </c>
      <c r="AG238" s="48">
        <f t="shared" si="76"/>
        <v>3.1617004867052856</v>
      </c>
      <c r="AH238" s="56"/>
      <c r="AI238" s="53"/>
    </row>
    <row r="239" spans="1:35" s="39" customFormat="1" ht="12.75">
      <c r="A239" s="81">
        <f>0.32+251.615</f>
        <v>251.935</v>
      </c>
      <c r="B239" s="43" t="s">
        <v>44</v>
      </c>
      <c r="C239" s="43" t="s">
        <v>90</v>
      </c>
      <c r="D239" s="43">
        <v>8</v>
      </c>
      <c r="E239" s="40" t="s">
        <v>47</v>
      </c>
      <c r="F239" s="41">
        <v>32</v>
      </c>
      <c r="G239" s="42">
        <v>35</v>
      </c>
      <c r="H239" s="43"/>
      <c r="I239" s="44"/>
      <c r="J239" s="40">
        <v>270</v>
      </c>
      <c r="K239" s="45">
        <v>75</v>
      </c>
      <c r="L239" s="45">
        <v>177</v>
      </c>
      <c r="M239" s="45">
        <v>0</v>
      </c>
      <c r="N239" s="45"/>
      <c r="O239" s="46"/>
      <c r="P239" s="47">
        <f t="shared" si="69"/>
        <v>-0.05055265177859402</v>
      </c>
      <c r="Q239" s="47">
        <f t="shared" si="70"/>
        <v>-0.9646020585144796</v>
      </c>
      <c r="R239" s="47">
        <f t="shared" si="71"/>
        <v>-0.25846434259635337</v>
      </c>
      <c r="S239" s="48">
        <f t="shared" si="72"/>
        <v>267</v>
      </c>
      <c r="T239" s="48">
        <f t="shared" si="68"/>
        <v>-14.98036772981889</v>
      </c>
      <c r="U239" s="49">
        <f t="shared" si="73"/>
        <v>267</v>
      </c>
      <c r="V239" s="48">
        <f t="shared" si="78"/>
        <v>177</v>
      </c>
      <c r="W239" s="50">
        <f t="shared" si="74"/>
        <v>75.0196322701811</v>
      </c>
      <c r="X239" s="51"/>
      <c r="Y239" s="52"/>
      <c r="Z239" s="53"/>
      <c r="AA239" s="40">
        <v>31</v>
      </c>
      <c r="AB239" s="43">
        <v>35</v>
      </c>
      <c r="AC239" s="54">
        <v>223.1</v>
      </c>
      <c r="AD239" s="55">
        <v>63.9</v>
      </c>
      <c r="AE239" s="49">
        <f t="shared" si="75"/>
        <v>43.900000000000006</v>
      </c>
      <c r="AF239" s="48">
        <f t="shared" si="77"/>
        <v>313.9</v>
      </c>
      <c r="AG239" s="48">
        <f t="shared" si="76"/>
        <v>75.0196322701811</v>
      </c>
      <c r="AH239" s="56"/>
      <c r="AI239" s="53"/>
    </row>
    <row r="240" spans="1:35" s="39" customFormat="1" ht="12.75">
      <c r="A240" s="81">
        <f>252.93+0.44</f>
        <v>253.37</v>
      </c>
      <c r="B240" s="43" t="s">
        <v>44</v>
      </c>
      <c r="C240" s="43" t="s">
        <v>90</v>
      </c>
      <c r="D240" s="43">
        <v>9</v>
      </c>
      <c r="E240" s="40" t="s">
        <v>47</v>
      </c>
      <c r="F240" s="41">
        <v>44</v>
      </c>
      <c r="G240" s="42">
        <v>46</v>
      </c>
      <c r="H240" s="43"/>
      <c r="I240" s="44"/>
      <c r="J240" s="40">
        <v>90</v>
      </c>
      <c r="K240" s="45">
        <v>24</v>
      </c>
      <c r="L240" s="45">
        <v>160</v>
      </c>
      <c r="M240" s="45">
        <v>0</v>
      </c>
      <c r="N240" s="45"/>
      <c r="O240" s="46"/>
      <c r="P240" s="47">
        <f t="shared" si="69"/>
        <v>-0.1391121249605866</v>
      </c>
      <c r="Q240" s="47">
        <f t="shared" si="70"/>
        <v>-0.3822074221015612</v>
      </c>
      <c r="R240" s="47">
        <f t="shared" si="71"/>
        <v>0.8584519252992376</v>
      </c>
      <c r="S240" s="48">
        <f t="shared" si="72"/>
        <v>250</v>
      </c>
      <c r="T240" s="48">
        <f t="shared" si="68"/>
        <v>64.64829022893814</v>
      </c>
      <c r="U240" s="49">
        <f t="shared" si="73"/>
        <v>70</v>
      </c>
      <c r="V240" s="48">
        <f t="shared" si="78"/>
        <v>340</v>
      </c>
      <c r="W240" s="50">
        <f t="shared" si="74"/>
        <v>25.351709771061863</v>
      </c>
      <c r="X240" s="51"/>
      <c r="Y240" s="52"/>
      <c r="Z240" s="53"/>
      <c r="AA240" s="40">
        <v>44</v>
      </c>
      <c r="AB240" s="43">
        <v>47</v>
      </c>
      <c r="AC240" s="54">
        <v>189.7</v>
      </c>
      <c r="AD240" s="55">
        <v>60.8</v>
      </c>
      <c r="AE240" s="49">
        <f t="shared" si="75"/>
        <v>240.3</v>
      </c>
      <c r="AF240" s="48">
        <f t="shared" si="77"/>
        <v>150.3</v>
      </c>
      <c r="AG240" s="48">
        <f t="shared" si="76"/>
        <v>25.351709771061863</v>
      </c>
      <c r="AH240" s="56"/>
      <c r="AI240" s="53"/>
    </row>
    <row r="241" spans="1:36" s="39" customFormat="1" ht="12.75">
      <c r="A241" s="81">
        <f>0.37+254.075</f>
        <v>254.445</v>
      </c>
      <c r="B241" s="43" t="s">
        <v>44</v>
      </c>
      <c r="C241" s="43" t="s">
        <v>90</v>
      </c>
      <c r="D241" s="43" t="s">
        <v>52</v>
      </c>
      <c r="E241" s="40" t="s">
        <v>47</v>
      </c>
      <c r="F241" s="41">
        <v>37</v>
      </c>
      <c r="G241" s="42">
        <v>38</v>
      </c>
      <c r="H241" s="43"/>
      <c r="I241" s="44"/>
      <c r="J241" s="40">
        <v>270</v>
      </c>
      <c r="K241" s="45">
        <v>7</v>
      </c>
      <c r="L241" s="45">
        <v>180</v>
      </c>
      <c r="M241" s="45">
        <v>8</v>
      </c>
      <c r="N241" s="45"/>
      <c r="O241" s="46"/>
      <c r="P241" s="47">
        <f t="shared" si="69"/>
        <v>-0.13813572576990216</v>
      </c>
      <c r="Q241" s="47">
        <f t="shared" si="70"/>
        <v>-0.1206833193326186</v>
      </c>
      <c r="R241" s="47">
        <f t="shared" si="71"/>
        <v>-0.9828867607227297</v>
      </c>
      <c r="S241" s="48">
        <f t="shared" si="72"/>
        <v>221.14233262445447</v>
      </c>
      <c r="T241" s="48">
        <f t="shared" si="68"/>
        <v>-79.42894908769492</v>
      </c>
      <c r="U241" s="49">
        <f t="shared" si="73"/>
        <v>221.14233262445447</v>
      </c>
      <c r="V241" s="48">
        <f t="shared" si="78"/>
        <v>131.14233262445447</v>
      </c>
      <c r="W241" s="50">
        <f t="shared" si="74"/>
        <v>10.571050912305083</v>
      </c>
      <c r="X241" s="51"/>
      <c r="Y241" s="52"/>
      <c r="Z241" s="53"/>
      <c r="AA241" s="40">
        <v>32</v>
      </c>
      <c r="AB241" s="43">
        <v>41</v>
      </c>
      <c r="AC241" s="54"/>
      <c r="AD241" s="55"/>
      <c r="AE241" s="49">
        <f t="shared" si="75"/>
        <v>221.14233262445447</v>
      </c>
      <c r="AF241" s="48">
        <f t="shared" si="77"/>
        <v>131.14233262445447</v>
      </c>
      <c r="AG241" s="48">
        <f t="shared" si="76"/>
        <v>10.571050912305083</v>
      </c>
      <c r="AH241" s="56"/>
      <c r="AI241" s="53"/>
      <c r="AJ241" s="39" t="s">
        <v>91</v>
      </c>
    </row>
    <row r="242" spans="1:35" s="39" customFormat="1" ht="12.75">
      <c r="A242" s="81">
        <f>255.82+0.32</f>
        <v>256.14</v>
      </c>
      <c r="B242" s="43" t="s">
        <v>44</v>
      </c>
      <c r="C242" s="43" t="s">
        <v>92</v>
      </c>
      <c r="D242" s="43">
        <v>3</v>
      </c>
      <c r="E242" s="40" t="s">
        <v>46</v>
      </c>
      <c r="F242" s="41">
        <v>32</v>
      </c>
      <c r="G242" s="42">
        <v>33</v>
      </c>
      <c r="H242" s="43"/>
      <c r="I242" s="44"/>
      <c r="J242" s="40">
        <v>270</v>
      </c>
      <c r="K242" s="45">
        <v>7</v>
      </c>
      <c r="L242" s="45">
        <v>180</v>
      </c>
      <c r="M242" s="45">
        <v>5</v>
      </c>
      <c r="N242" s="45"/>
      <c r="O242" s="46"/>
      <c r="P242" s="47">
        <f t="shared" si="69"/>
        <v>-0.08650609705762918</v>
      </c>
      <c r="Q242" s="47">
        <f t="shared" si="70"/>
        <v>-0.12140559376013013</v>
      </c>
      <c r="R242" s="47">
        <f t="shared" si="71"/>
        <v>-0.9887692138764507</v>
      </c>
      <c r="S242" s="48">
        <f t="shared" si="72"/>
        <v>234.5286843340475</v>
      </c>
      <c r="T242" s="48">
        <f t="shared" si="68"/>
        <v>-81.42632981513503</v>
      </c>
      <c r="U242" s="49">
        <f t="shared" si="73"/>
        <v>234.5286843340475</v>
      </c>
      <c r="V242" s="48">
        <f t="shared" si="78"/>
        <v>144.5286843340475</v>
      </c>
      <c r="W242" s="50">
        <f t="shared" si="74"/>
        <v>8.573670184864966</v>
      </c>
      <c r="X242" s="51"/>
      <c r="Y242" s="52"/>
      <c r="Z242" s="53"/>
      <c r="AA242" s="40">
        <v>32</v>
      </c>
      <c r="AB242" s="43">
        <v>35</v>
      </c>
      <c r="AC242" s="54">
        <v>65.7</v>
      </c>
      <c r="AD242" s="55">
        <v>44.3</v>
      </c>
      <c r="AE242" s="49">
        <f t="shared" si="75"/>
        <v>168.82868433404752</v>
      </c>
      <c r="AF242" s="48">
        <f t="shared" si="77"/>
        <v>78.82868433404752</v>
      </c>
      <c r="AG242" s="48">
        <f t="shared" si="76"/>
        <v>8.573670184864966</v>
      </c>
      <c r="AH242" s="56"/>
      <c r="AI242" s="53"/>
    </row>
    <row r="243" spans="1:35" s="39" customFormat="1" ht="12.75">
      <c r="A243" s="81">
        <f>1.03+258.44</f>
        <v>259.46999999999997</v>
      </c>
      <c r="B243" s="43" t="s">
        <v>44</v>
      </c>
      <c r="C243" s="43" t="s">
        <v>92</v>
      </c>
      <c r="D243" s="43">
        <v>5</v>
      </c>
      <c r="E243" s="40" t="s">
        <v>47</v>
      </c>
      <c r="F243" s="41">
        <v>103</v>
      </c>
      <c r="G243" s="42">
        <v>106</v>
      </c>
      <c r="H243" s="43"/>
      <c r="I243" s="44"/>
      <c r="J243" s="40"/>
      <c r="K243" s="45"/>
      <c r="L243" s="45"/>
      <c r="M243" s="45"/>
      <c r="N243" s="45"/>
      <c r="O243" s="46"/>
      <c r="P243" s="47"/>
      <c r="Q243" s="47"/>
      <c r="R243" s="47"/>
      <c r="S243" s="48"/>
      <c r="T243" s="48"/>
      <c r="U243" s="49"/>
      <c r="V243" s="48"/>
      <c r="W243" s="50"/>
      <c r="X243" s="51"/>
      <c r="Y243" s="52"/>
      <c r="Z243" s="53"/>
      <c r="AA243" s="40"/>
      <c r="AB243" s="43"/>
      <c r="AC243" s="54"/>
      <c r="AD243" s="55"/>
      <c r="AE243" s="49"/>
      <c r="AF243" s="48"/>
      <c r="AG243" s="48"/>
      <c r="AH243" s="56"/>
      <c r="AI243" s="53"/>
    </row>
    <row r="244" spans="1:35" s="39" customFormat="1" ht="12.75">
      <c r="A244" s="81">
        <f>0.19+261.1</f>
        <v>261.29</v>
      </c>
      <c r="B244" s="43" t="s">
        <v>44</v>
      </c>
      <c r="C244" s="43" t="s">
        <v>92</v>
      </c>
      <c r="D244" s="43">
        <v>8</v>
      </c>
      <c r="E244" s="40" t="s">
        <v>46</v>
      </c>
      <c r="F244" s="41">
        <v>19</v>
      </c>
      <c r="G244" s="42">
        <v>19</v>
      </c>
      <c r="H244" s="43"/>
      <c r="I244" s="44"/>
      <c r="J244" s="40">
        <v>90</v>
      </c>
      <c r="K244" s="45">
        <v>3</v>
      </c>
      <c r="L244" s="45">
        <v>0</v>
      </c>
      <c r="M244" s="45">
        <v>7</v>
      </c>
      <c r="N244" s="45"/>
      <c r="O244" s="46"/>
      <c r="P244" s="47">
        <f t="shared" si="69"/>
        <v>0.12170232570552782</v>
      </c>
      <c r="Q244" s="47">
        <f t="shared" si="70"/>
        <v>0.05194585196140251</v>
      </c>
      <c r="R244" s="47">
        <f t="shared" si="71"/>
        <v>-0.991185901636016</v>
      </c>
      <c r="S244" s="48">
        <f t="shared" si="72"/>
        <v>23.11410337936558</v>
      </c>
      <c r="T244" s="48">
        <f t="shared" si="68"/>
        <v>-82.39589554630736</v>
      </c>
      <c r="U244" s="49">
        <f t="shared" si="73"/>
        <v>23.11410337936558</v>
      </c>
      <c r="V244" s="48">
        <f t="shared" si="78"/>
        <v>293.1141033793656</v>
      </c>
      <c r="W244" s="50">
        <f t="shared" si="74"/>
        <v>7.604104453692642</v>
      </c>
      <c r="X244" s="51"/>
      <c r="Y244" s="52"/>
      <c r="Z244" s="53"/>
      <c r="AA244" s="40">
        <v>16</v>
      </c>
      <c r="AB244" s="43">
        <v>20</v>
      </c>
      <c r="AC244" s="54">
        <v>326.2</v>
      </c>
      <c r="AD244" s="55">
        <v>57</v>
      </c>
      <c r="AE244" s="49">
        <f t="shared" si="75"/>
        <v>56.9141033793656</v>
      </c>
      <c r="AF244" s="48">
        <f t="shared" si="77"/>
        <v>326.9141033793656</v>
      </c>
      <c r="AG244" s="48">
        <f t="shared" si="76"/>
        <v>7.604104453692642</v>
      </c>
      <c r="AH244" s="56"/>
      <c r="AI244" s="53"/>
    </row>
    <row r="245" spans="1:35" s="39" customFormat="1" ht="12.75">
      <c r="A245" s="81">
        <f>0.13+262.4</f>
        <v>262.53</v>
      </c>
      <c r="B245" s="43" t="s">
        <v>44</v>
      </c>
      <c r="C245" s="43" t="s">
        <v>92</v>
      </c>
      <c r="D245" s="43">
        <v>9</v>
      </c>
      <c r="E245" s="40" t="s">
        <v>47</v>
      </c>
      <c r="F245" s="41">
        <v>13</v>
      </c>
      <c r="G245" s="42">
        <v>13</v>
      </c>
      <c r="H245" s="43"/>
      <c r="I245" s="44"/>
      <c r="J245" s="40">
        <v>270</v>
      </c>
      <c r="K245" s="45">
        <v>3</v>
      </c>
      <c r="L245" s="45">
        <v>180</v>
      </c>
      <c r="M245" s="45">
        <v>8</v>
      </c>
      <c r="N245" s="45"/>
      <c r="O245" s="46"/>
      <c r="P245" s="47">
        <f t="shared" si="69"/>
        <v>-0.13898236906210149</v>
      </c>
      <c r="Q245" s="47">
        <f t="shared" si="70"/>
        <v>-0.05182662631444329</v>
      </c>
      <c r="R245" s="47">
        <f t="shared" si="71"/>
        <v>-0.9889109407697048</v>
      </c>
      <c r="S245" s="48">
        <f t="shared" si="72"/>
        <v>200.45052195012667</v>
      </c>
      <c r="T245" s="48">
        <f t="shared" si="68"/>
        <v>-81.46955163874233</v>
      </c>
      <c r="U245" s="49">
        <f t="shared" si="73"/>
        <v>200.45052195012667</v>
      </c>
      <c r="V245" s="48">
        <f t="shared" si="78"/>
        <v>110.45052195012667</v>
      </c>
      <c r="W245" s="50">
        <f t="shared" si="74"/>
        <v>8.530448361257669</v>
      </c>
      <c r="X245" s="51"/>
      <c r="Y245" s="52"/>
      <c r="Z245" s="53"/>
      <c r="AA245" s="40">
        <v>12</v>
      </c>
      <c r="AB245" s="43">
        <v>14</v>
      </c>
      <c r="AC245" s="54">
        <v>20.2</v>
      </c>
      <c r="AD245" s="55">
        <v>45</v>
      </c>
      <c r="AE245" s="49">
        <f t="shared" si="75"/>
        <v>180.25052195012668</v>
      </c>
      <c r="AF245" s="48">
        <f t="shared" si="77"/>
        <v>90.25052195012668</v>
      </c>
      <c r="AG245" s="48">
        <f t="shared" si="76"/>
        <v>8.530448361257669</v>
      </c>
      <c r="AH245" s="56"/>
      <c r="AI245" s="53"/>
    </row>
    <row r="246" spans="1:35" s="39" customFormat="1" ht="21">
      <c r="A246" s="81">
        <f>0.45+264.12</f>
        <v>264.57</v>
      </c>
      <c r="B246" s="43" t="s">
        <v>44</v>
      </c>
      <c r="C246" s="43" t="s">
        <v>92</v>
      </c>
      <c r="D246" s="43" t="s">
        <v>52</v>
      </c>
      <c r="E246" s="40" t="s">
        <v>46</v>
      </c>
      <c r="F246" s="41">
        <v>45</v>
      </c>
      <c r="G246" s="42">
        <v>45</v>
      </c>
      <c r="H246" s="43"/>
      <c r="I246" s="44"/>
      <c r="J246" s="40">
        <v>270</v>
      </c>
      <c r="K246" s="45">
        <v>3</v>
      </c>
      <c r="L246" s="45">
        <v>0</v>
      </c>
      <c r="M246" s="45">
        <v>6</v>
      </c>
      <c r="N246" s="45"/>
      <c r="O246" s="46"/>
      <c r="P246" s="47">
        <f t="shared" si="69"/>
        <v>-0.10438521064158733</v>
      </c>
      <c r="Q246" s="47">
        <f t="shared" si="70"/>
        <v>0.05204925439864353</v>
      </c>
      <c r="R246" s="47">
        <f t="shared" si="71"/>
        <v>0.9931589376748557</v>
      </c>
      <c r="S246" s="48">
        <f t="shared" si="72"/>
        <v>153.49793026401855</v>
      </c>
      <c r="T246" s="48">
        <f t="shared" si="68"/>
        <v>83.30154702070026</v>
      </c>
      <c r="U246" s="49">
        <f t="shared" si="73"/>
        <v>333.4979302640186</v>
      </c>
      <c r="V246" s="48">
        <f t="shared" si="78"/>
        <v>243.49793026401858</v>
      </c>
      <c r="W246" s="50">
        <f t="shared" si="74"/>
        <v>6.698452979299745</v>
      </c>
      <c r="X246" s="51"/>
      <c r="Y246" s="52"/>
      <c r="Z246" s="53"/>
      <c r="AA246" s="40">
        <v>41</v>
      </c>
      <c r="AB246" s="43">
        <v>47</v>
      </c>
      <c r="AC246" s="54"/>
      <c r="AD246" s="55"/>
      <c r="AE246" s="49">
        <f t="shared" si="75"/>
        <v>333.4979302640186</v>
      </c>
      <c r="AF246" s="48">
        <f t="shared" si="77"/>
        <v>243.49793026401858</v>
      </c>
      <c r="AG246" s="48">
        <f t="shared" si="76"/>
        <v>6.698452979299745</v>
      </c>
      <c r="AH246" s="56"/>
      <c r="AI246" s="53"/>
    </row>
    <row r="247" spans="1:35" s="39" customFormat="1" ht="12.75">
      <c r="A247" s="81">
        <f>0.08+262.75</f>
        <v>262.83</v>
      </c>
      <c r="B247" s="43" t="s">
        <v>44</v>
      </c>
      <c r="C247" s="43" t="s">
        <v>93</v>
      </c>
      <c r="D247" s="43">
        <v>1</v>
      </c>
      <c r="E247" s="40" t="s">
        <v>73</v>
      </c>
      <c r="F247" s="41">
        <v>8</v>
      </c>
      <c r="G247" s="42">
        <v>8</v>
      </c>
      <c r="H247" s="43"/>
      <c r="I247" s="44"/>
      <c r="J247" s="40">
        <v>270</v>
      </c>
      <c r="K247" s="45">
        <v>5</v>
      </c>
      <c r="L247" s="45">
        <v>180</v>
      </c>
      <c r="M247" s="45">
        <v>3</v>
      </c>
      <c r="N247" s="45"/>
      <c r="O247" s="46"/>
      <c r="P247" s="47">
        <f t="shared" si="69"/>
        <v>-0.052136802128782245</v>
      </c>
      <c r="Q247" s="47">
        <f t="shared" si="70"/>
        <v>-0.08703629883128318</v>
      </c>
      <c r="R247" s="47">
        <f t="shared" si="71"/>
        <v>-0.994829447880333</v>
      </c>
      <c r="S247" s="48">
        <f t="shared" si="72"/>
        <v>239.07739373007206</v>
      </c>
      <c r="T247" s="48">
        <f t="shared" si="68"/>
        <v>-84.17685049823567</v>
      </c>
      <c r="U247" s="49">
        <f t="shared" si="73"/>
        <v>239.07739373007206</v>
      </c>
      <c r="V247" s="48">
        <f t="shared" si="78"/>
        <v>149.07739373007206</v>
      </c>
      <c r="W247" s="50">
        <f t="shared" si="74"/>
        <v>5.823149501764334</v>
      </c>
      <c r="X247" s="51"/>
      <c r="Y247" s="52"/>
      <c r="Z247" s="53"/>
      <c r="AA247" s="40">
        <v>4</v>
      </c>
      <c r="AB247" s="43">
        <v>9</v>
      </c>
      <c r="AC247" s="54">
        <v>211.2</v>
      </c>
      <c r="AD247" s="55">
        <v>-53.8</v>
      </c>
      <c r="AE247" s="49">
        <f t="shared" si="75"/>
        <v>207.87739373007207</v>
      </c>
      <c r="AF247" s="48">
        <f t="shared" si="77"/>
        <v>117.87739373007207</v>
      </c>
      <c r="AG247" s="48">
        <f t="shared" si="76"/>
        <v>5.823149501764334</v>
      </c>
      <c r="AH247" s="56"/>
      <c r="AI247" s="53"/>
    </row>
    <row r="248" spans="1:35" s="39" customFormat="1" ht="12.75">
      <c r="A248" s="81">
        <f>0.18+262.75</f>
        <v>262.93</v>
      </c>
      <c r="B248" s="43" t="s">
        <v>44</v>
      </c>
      <c r="C248" s="43" t="s">
        <v>93</v>
      </c>
      <c r="D248" s="43">
        <v>1</v>
      </c>
      <c r="E248" s="40" t="s">
        <v>73</v>
      </c>
      <c r="F248" s="41">
        <v>18</v>
      </c>
      <c r="G248" s="42">
        <v>18</v>
      </c>
      <c r="H248" s="43"/>
      <c r="I248" s="44"/>
      <c r="J248" s="40">
        <v>90</v>
      </c>
      <c r="K248" s="45">
        <v>2</v>
      </c>
      <c r="L248" s="45">
        <v>0</v>
      </c>
      <c r="M248" s="45">
        <v>1</v>
      </c>
      <c r="N248" s="45"/>
      <c r="O248" s="46"/>
      <c r="P248" s="47">
        <f t="shared" si="69"/>
        <v>0.017441774902830158</v>
      </c>
      <c r="Q248" s="47">
        <f t="shared" si="70"/>
        <v>0.03489418134011367</v>
      </c>
      <c r="R248" s="47">
        <f t="shared" si="71"/>
        <v>-0.9992386149554826</v>
      </c>
      <c r="S248" s="48">
        <f t="shared" si="72"/>
        <v>63.441931983418904</v>
      </c>
      <c r="T248" s="48">
        <f t="shared" si="68"/>
        <v>-87.76429506217735</v>
      </c>
      <c r="U248" s="49">
        <f t="shared" si="73"/>
        <v>63.441931983418904</v>
      </c>
      <c r="V248" s="48">
        <f t="shared" si="78"/>
        <v>333.4419319834189</v>
      </c>
      <c r="W248" s="50">
        <f t="shared" si="74"/>
        <v>2.2357049378226463</v>
      </c>
      <c r="X248" s="51"/>
      <c r="Y248" s="52"/>
      <c r="Z248" s="53"/>
      <c r="AA248" s="40">
        <v>16</v>
      </c>
      <c r="AB248" s="43">
        <v>21</v>
      </c>
      <c r="AC248" s="54">
        <v>327.9</v>
      </c>
      <c r="AD248" s="55">
        <v>13.1</v>
      </c>
      <c r="AE248" s="49">
        <f t="shared" si="75"/>
        <v>95.54193198341892</v>
      </c>
      <c r="AF248" s="48">
        <f t="shared" si="77"/>
        <v>5.54193198341892</v>
      </c>
      <c r="AG248" s="48">
        <f t="shared" si="76"/>
        <v>2.2357049378226463</v>
      </c>
      <c r="AH248" s="56"/>
      <c r="AI248" s="53"/>
    </row>
    <row r="249" spans="1:35" s="39" customFormat="1" ht="12.75">
      <c r="A249" s="81">
        <f>262.75+0.19</f>
        <v>262.94</v>
      </c>
      <c r="B249" s="43" t="s">
        <v>44</v>
      </c>
      <c r="C249" s="43" t="s">
        <v>93</v>
      </c>
      <c r="D249" s="43">
        <v>1</v>
      </c>
      <c r="E249" s="40" t="s">
        <v>47</v>
      </c>
      <c r="F249" s="41">
        <v>19</v>
      </c>
      <c r="G249" s="42">
        <v>19</v>
      </c>
      <c r="H249" s="43"/>
      <c r="I249" s="44"/>
      <c r="J249" s="40">
        <v>90</v>
      </c>
      <c r="K249" s="45">
        <v>2</v>
      </c>
      <c r="L249" s="45">
        <v>0</v>
      </c>
      <c r="M249" s="45">
        <v>1</v>
      </c>
      <c r="N249" s="45"/>
      <c r="O249" s="46"/>
      <c r="P249" s="47">
        <f t="shared" si="69"/>
        <v>0.017441774902830158</v>
      </c>
      <c r="Q249" s="47">
        <f t="shared" si="70"/>
        <v>0.03489418134011367</v>
      </c>
      <c r="R249" s="47">
        <f t="shared" si="71"/>
        <v>-0.9992386149554826</v>
      </c>
      <c r="S249" s="48">
        <f t="shared" si="72"/>
        <v>63.441931983418904</v>
      </c>
      <c r="T249" s="48">
        <f t="shared" si="68"/>
        <v>-87.76429506217735</v>
      </c>
      <c r="U249" s="49">
        <f t="shared" si="73"/>
        <v>63.441931983418904</v>
      </c>
      <c r="V249" s="48">
        <f t="shared" si="78"/>
        <v>333.4419319834189</v>
      </c>
      <c r="W249" s="50">
        <f t="shared" si="74"/>
        <v>2.2357049378226463</v>
      </c>
      <c r="X249" s="51"/>
      <c r="Y249" s="52"/>
      <c r="Z249" s="53"/>
      <c r="AA249" s="40">
        <v>16</v>
      </c>
      <c r="AB249" s="43">
        <v>21</v>
      </c>
      <c r="AC249" s="54"/>
      <c r="AD249" s="55"/>
      <c r="AE249" s="49">
        <f t="shared" si="75"/>
        <v>63.441931983418904</v>
      </c>
      <c r="AF249" s="48">
        <f t="shared" si="77"/>
        <v>333.4419319834189</v>
      </c>
      <c r="AG249" s="48">
        <f t="shared" si="76"/>
        <v>2.2357049378226463</v>
      </c>
      <c r="AH249" s="56"/>
      <c r="AI249" s="53"/>
    </row>
    <row r="250" spans="1:35" s="39" customFormat="1" ht="21">
      <c r="A250" s="81">
        <f>0.59+264.065</f>
        <v>264.655</v>
      </c>
      <c r="B250" s="43" t="s">
        <v>44</v>
      </c>
      <c r="C250" s="43" t="s">
        <v>93</v>
      </c>
      <c r="D250" s="43">
        <v>2</v>
      </c>
      <c r="E250" s="40" t="s">
        <v>47</v>
      </c>
      <c r="F250" s="41">
        <v>59</v>
      </c>
      <c r="G250" s="42">
        <v>59</v>
      </c>
      <c r="H250" s="43"/>
      <c r="I250" s="44"/>
      <c r="J250" s="40">
        <v>270</v>
      </c>
      <c r="K250" s="45">
        <v>0</v>
      </c>
      <c r="L250" s="45">
        <v>0</v>
      </c>
      <c r="M250" s="45">
        <v>0</v>
      </c>
      <c r="N250" s="45"/>
      <c r="O250" s="46"/>
      <c r="P250" s="47">
        <f t="shared" si="69"/>
        <v>0</v>
      </c>
      <c r="Q250" s="47">
        <f t="shared" si="70"/>
        <v>0</v>
      </c>
      <c r="R250" s="47">
        <f t="shared" si="71"/>
        <v>1</v>
      </c>
      <c r="S250" s="48">
        <f t="shared" si="72"/>
        <v>90</v>
      </c>
      <c r="T250" s="48">
        <f t="shared" si="68"/>
        <v>90</v>
      </c>
      <c r="U250" s="49">
        <f t="shared" si="73"/>
        <v>270</v>
      </c>
      <c r="V250" s="48">
        <f t="shared" si="78"/>
        <v>180</v>
      </c>
      <c r="W250" s="50">
        <f t="shared" si="74"/>
        <v>0</v>
      </c>
      <c r="X250" s="51"/>
      <c r="Y250" s="52"/>
      <c r="Z250" s="53"/>
      <c r="AA250" s="40">
        <v>57</v>
      </c>
      <c r="AB250" s="43">
        <v>61</v>
      </c>
      <c r="AC250" s="54"/>
      <c r="AD250" s="55"/>
      <c r="AE250" s="49">
        <f t="shared" si="75"/>
        <v>270</v>
      </c>
      <c r="AF250" s="48">
        <f t="shared" si="77"/>
        <v>180</v>
      </c>
      <c r="AG250" s="48">
        <f t="shared" si="76"/>
        <v>0</v>
      </c>
      <c r="AH250" s="56"/>
      <c r="AI250" s="53"/>
    </row>
    <row r="251" spans="1:35" s="39" customFormat="1" ht="12.75">
      <c r="A251" s="81">
        <f>264.065+0.59</f>
        <v>264.655</v>
      </c>
      <c r="B251" s="43" t="s">
        <v>44</v>
      </c>
      <c r="C251" s="43" t="s">
        <v>93</v>
      </c>
      <c r="D251" s="43">
        <v>2</v>
      </c>
      <c r="E251" s="40" t="s">
        <v>46</v>
      </c>
      <c r="F251" s="41">
        <v>59</v>
      </c>
      <c r="G251" s="42">
        <v>59</v>
      </c>
      <c r="H251" s="43"/>
      <c r="I251" s="44"/>
      <c r="J251" s="40">
        <v>270</v>
      </c>
      <c r="K251" s="45">
        <v>0</v>
      </c>
      <c r="L251" s="45">
        <v>0</v>
      </c>
      <c r="M251" s="45">
        <v>0</v>
      </c>
      <c r="N251" s="45"/>
      <c r="O251" s="46"/>
      <c r="P251" s="47">
        <f t="shared" si="69"/>
        <v>0</v>
      </c>
      <c r="Q251" s="47">
        <f t="shared" si="70"/>
        <v>0</v>
      </c>
      <c r="R251" s="47">
        <f t="shared" si="71"/>
        <v>1</v>
      </c>
      <c r="S251" s="48">
        <f t="shared" si="72"/>
        <v>90</v>
      </c>
      <c r="T251" s="48">
        <f t="shared" si="68"/>
        <v>90</v>
      </c>
      <c r="U251" s="49">
        <f t="shared" si="73"/>
        <v>270</v>
      </c>
      <c r="V251" s="48">
        <f t="shared" si="78"/>
        <v>180</v>
      </c>
      <c r="W251" s="50">
        <f t="shared" si="74"/>
        <v>0</v>
      </c>
      <c r="X251" s="51"/>
      <c r="Y251" s="52"/>
      <c r="Z251" s="53"/>
      <c r="AA251" s="40">
        <v>57</v>
      </c>
      <c r="AB251" s="43">
        <v>61</v>
      </c>
      <c r="AC251" s="54"/>
      <c r="AD251" s="55"/>
      <c r="AE251" s="49">
        <f t="shared" si="75"/>
        <v>270</v>
      </c>
      <c r="AF251" s="48">
        <f t="shared" si="77"/>
        <v>180</v>
      </c>
      <c r="AG251" s="48">
        <f t="shared" si="76"/>
        <v>0</v>
      </c>
      <c r="AH251" s="56"/>
      <c r="AI251" s="53"/>
    </row>
    <row r="252" spans="1:35" s="39" customFormat="1" ht="21">
      <c r="A252" s="81">
        <f>1+264.085</f>
        <v>265.085</v>
      </c>
      <c r="B252" s="43" t="s">
        <v>44</v>
      </c>
      <c r="C252" s="43" t="s">
        <v>93</v>
      </c>
      <c r="D252" s="43">
        <v>2</v>
      </c>
      <c r="E252" s="40" t="s">
        <v>73</v>
      </c>
      <c r="F252" s="41">
        <v>100</v>
      </c>
      <c r="G252" s="42">
        <v>100</v>
      </c>
      <c r="H252" s="43"/>
      <c r="I252" s="44"/>
      <c r="J252" s="40">
        <v>270</v>
      </c>
      <c r="K252" s="45">
        <v>6</v>
      </c>
      <c r="L252" s="45">
        <v>180</v>
      </c>
      <c r="M252" s="45">
        <v>2</v>
      </c>
      <c r="N252" s="45"/>
      <c r="O252" s="46"/>
      <c r="P252" s="47">
        <f t="shared" si="69"/>
        <v>-0.03470831360797008</v>
      </c>
      <c r="Q252" s="47">
        <f t="shared" si="70"/>
        <v>-0.10446478735209536</v>
      </c>
      <c r="R252" s="47">
        <f t="shared" si="71"/>
        <v>-0.9939160595006973</v>
      </c>
      <c r="S252" s="48">
        <f t="shared" si="72"/>
        <v>251.62098802250347</v>
      </c>
      <c r="T252" s="48">
        <f t="shared" si="68"/>
        <v>-83.68004299396074</v>
      </c>
      <c r="U252" s="49">
        <f t="shared" si="73"/>
        <v>251.62098802250347</v>
      </c>
      <c r="V252" s="48">
        <f t="shared" si="78"/>
        <v>161.62098802250347</v>
      </c>
      <c r="W252" s="50">
        <f t="shared" si="74"/>
        <v>6.31995700603926</v>
      </c>
      <c r="X252" s="51"/>
      <c r="Y252" s="52"/>
      <c r="Z252" s="53"/>
      <c r="AA252" s="40">
        <v>95</v>
      </c>
      <c r="AB252" s="43">
        <v>102</v>
      </c>
      <c r="AC252" s="54"/>
      <c r="AD252" s="55"/>
      <c r="AE252" s="49">
        <f t="shared" si="75"/>
        <v>251.62098802250347</v>
      </c>
      <c r="AF252" s="48">
        <f t="shared" si="77"/>
        <v>161.62098802250347</v>
      </c>
      <c r="AG252" s="48">
        <f t="shared" si="76"/>
        <v>6.31995700603926</v>
      </c>
      <c r="AH252" s="56"/>
      <c r="AI252" s="53"/>
    </row>
    <row r="253" spans="1:35" s="39" customFormat="1" ht="12.75">
      <c r="A253" s="81">
        <f>0.25+265.38</f>
        <v>265.63</v>
      </c>
      <c r="B253" s="43" t="s">
        <v>44</v>
      </c>
      <c r="C253" s="43" t="s">
        <v>93</v>
      </c>
      <c r="D253" s="43">
        <v>3</v>
      </c>
      <c r="E253" s="40" t="s">
        <v>73</v>
      </c>
      <c r="F253" s="41">
        <v>25</v>
      </c>
      <c r="G253" s="42">
        <v>25</v>
      </c>
      <c r="H253" s="43"/>
      <c r="I253" s="44"/>
      <c r="J253" s="40">
        <v>270</v>
      </c>
      <c r="K253" s="45">
        <v>2</v>
      </c>
      <c r="L253" s="45">
        <v>180</v>
      </c>
      <c r="M253" s="45">
        <v>1</v>
      </c>
      <c r="N253" s="45"/>
      <c r="O253" s="46"/>
      <c r="P253" s="47">
        <f t="shared" si="69"/>
        <v>-0.01744177490283016</v>
      </c>
      <c r="Q253" s="47">
        <f t="shared" si="70"/>
        <v>-0.03489418134011367</v>
      </c>
      <c r="R253" s="47">
        <f t="shared" si="71"/>
        <v>-0.9992386149554826</v>
      </c>
      <c r="S253" s="48">
        <f t="shared" si="72"/>
        <v>243.4419319834189</v>
      </c>
      <c r="T253" s="48">
        <f t="shared" si="68"/>
        <v>-87.76429506217735</v>
      </c>
      <c r="U253" s="49">
        <f t="shared" si="73"/>
        <v>243.4419319834189</v>
      </c>
      <c r="V253" s="48">
        <f t="shared" si="78"/>
        <v>153.4419319834189</v>
      </c>
      <c r="W253" s="50">
        <f t="shared" si="74"/>
        <v>2.2357049378226463</v>
      </c>
      <c r="X253" s="51"/>
      <c r="Y253" s="52"/>
      <c r="Z253" s="53"/>
      <c r="AA253" s="40">
        <v>24</v>
      </c>
      <c r="AB253" s="43">
        <v>27</v>
      </c>
      <c r="AC253" s="54">
        <v>93.2</v>
      </c>
      <c r="AD253" s="55">
        <v>-17.9</v>
      </c>
      <c r="AE253" s="49">
        <f t="shared" si="75"/>
        <v>330.2419319834189</v>
      </c>
      <c r="AF253" s="48">
        <f t="shared" si="77"/>
        <v>240.2419319834189</v>
      </c>
      <c r="AG253" s="48">
        <f t="shared" si="76"/>
        <v>2.2357049378226463</v>
      </c>
      <c r="AH253" s="56"/>
      <c r="AI253" s="53"/>
    </row>
    <row r="254" spans="1:35" s="39" customFormat="1" ht="21">
      <c r="A254" s="81">
        <f>265.38+1.13</f>
        <v>266.51</v>
      </c>
      <c r="B254" s="43" t="s">
        <v>44</v>
      </c>
      <c r="C254" s="43" t="s">
        <v>93</v>
      </c>
      <c r="D254" s="43">
        <v>3</v>
      </c>
      <c r="E254" s="40" t="s">
        <v>46</v>
      </c>
      <c r="F254" s="41">
        <v>113</v>
      </c>
      <c r="G254" s="42">
        <v>113</v>
      </c>
      <c r="H254" s="43"/>
      <c r="I254" s="44"/>
      <c r="J254" s="40">
        <v>270</v>
      </c>
      <c r="K254" s="45">
        <v>3</v>
      </c>
      <c r="L254" s="45">
        <v>180</v>
      </c>
      <c r="M254" s="45">
        <v>7</v>
      </c>
      <c r="N254" s="45"/>
      <c r="O254" s="46"/>
      <c r="P254" s="47">
        <f t="shared" si="69"/>
        <v>-0.12170232570552782</v>
      </c>
      <c r="Q254" s="47">
        <f t="shared" si="70"/>
        <v>-0.051945851961402494</v>
      </c>
      <c r="R254" s="47">
        <f t="shared" si="71"/>
        <v>-0.991185901636016</v>
      </c>
      <c r="S254" s="48">
        <f t="shared" si="72"/>
        <v>203.1141033793656</v>
      </c>
      <c r="T254" s="48">
        <f t="shared" si="68"/>
        <v>-82.39589554630736</v>
      </c>
      <c r="U254" s="49">
        <f t="shared" si="73"/>
        <v>203.1141033793656</v>
      </c>
      <c r="V254" s="48">
        <f t="shared" si="78"/>
        <v>113.11410337936559</v>
      </c>
      <c r="W254" s="50">
        <f t="shared" si="74"/>
        <v>7.604104453692642</v>
      </c>
      <c r="X254" s="51"/>
      <c r="Y254" s="52"/>
      <c r="Z254" s="53"/>
      <c r="AA254" s="40">
        <v>113</v>
      </c>
      <c r="AB254" s="43">
        <v>119</v>
      </c>
      <c r="AC254" s="54">
        <v>33.5</v>
      </c>
      <c r="AD254" s="55">
        <v>82.4</v>
      </c>
      <c r="AE254" s="49">
        <f t="shared" si="75"/>
        <v>169.6141033793656</v>
      </c>
      <c r="AF254" s="48">
        <f t="shared" si="77"/>
        <v>79.61410337936559</v>
      </c>
      <c r="AG254" s="48">
        <f t="shared" si="76"/>
        <v>7.604104453692642</v>
      </c>
      <c r="AH254" s="56"/>
      <c r="AI254" s="53"/>
    </row>
    <row r="255" spans="1:35" s="39" customFormat="1" ht="12.75">
      <c r="A255" s="81">
        <f>0.11+267.03</f>
        <v>267.14</v>
      </c>
      <c r="B255" s="43" t="s">
        <v>44</v>
      </c>
      <c r="C255" s="43" t="s">
        <v>93</v>
      </c>
      <c r="D255" s="43">
        <v>5</v>
      </c>
      <c r="E255" s="40" t="s">
        <v>47</v>
      </c>
      <c r="F255" s="41">
        <v>11</v>
      </c>
      <c r="G255" s="42">
        <v>11</v>
      </c>
      <c r="H255" s="43"/>
      <c r="I255" s="44"/>
      <c r="J255" s="40">
        <v>270</v>
      </c>
      <c r="K255" s="45">
        <v>5</v>
      </c>
      <c r="L255" s="45">
        <v>180</v>
      </c>
      <c r="M255" s="45">
        <v>6</v>
      </c>
      <c r="N255" s="45"/>
      <c r="O255" s="46"/>
      <c r="P255" s="47">
        <f t="shared" si="69"/>
        <v>-0.10413070090691416</v>
      </c>
      <c r="Q255" s="47">
        <f t="shared" si="70"/>
        <v>-0.08667829446963063</v>
      </c>
      <c r="R255" s="47">
        <f t="shared" si="71"/>
        <v>-0.9907374393020275</v>
      </c>
      <c r="S255" s="48">
        <f t="shared" si="72"/>
        <v>219.77396414379353</v>
      </c>
      <c r="T255" s="48">
        <f t="shared" si="68"/>
        <v>-82.21297801271761</v>
      </c>
      <c r="U255" s="49">
        <f t="shared" si="73"/>
        <v>219.77396414379353</v>
      </c>
      <c r="V255" s="48">
        <f t="shared" si="78"/>
        <v>129.77396414379353</v>
      </c>
      <c r="W255" s="50">
        <f t="shared" si="74"/>
        <v>7.787021987282387</v>
      </c>
      <c r="X255" s="51"/>
      <c r="Y255" s="52"/>
      <c r="Z255" s="53"/>
      <c r="AA255" s="40">
        <v>10</v>
      </c>
      <c r="AB255" s="43">
        <v>14</v>
      </c>
      <c r="AC255" s="54"/>
      <c r="AD255" s="55"/>
      <c r="AE255" s="49">
        <f t="shared" si="75"/>
        <v>219.77396414379353</v>
      </c>
      <c r="AF255" s="48">
        <f t="shared" si="77"/>
        <v>129.77396414379353</v>
      </c>
      <c r="AG255" s="48">
        <f t="shared" si="76"/>
        <v>7.787021987282387</v>
      </c>
      <c r="AH255" s="56"/>
      <c r="AI255" s="53"/>
    </row>
    <row r="256" spans="1:35" s="39" customFormat="1" ht="12.75">
      <c r="A256" s="81">
        <f>267.03</f>
        <v>267.03</v>
      </c>
      <c r="B256" s="43" t="s">
        <v>44</v>
      </c>
      <c r="C256" s="43" t="s">
        <v>93</v>
      </c>
      <c r="D256" s="43">
        <v>5</v>
      </c>
      <c r="E256" s="40" t="s">
        <v>47</v>
      </c>
      <c r="F256" s="41">
        <v>0</v>
      </c>
      <c r="G256" s="42">
        <v>2</v>
      </c>
      <c r="H256" s="43"/>
      <c r="I256" s="44"/>
      <c r="J256" s="40">
        <v>180</v>
      </c>
      <c r="K256" s="45">
        <v>67</v>
      </c>
      <c r="L256" s="45">
        <v>176</v>
      </c>
      <c r="M256" s="45">
        <v>0</v>
      </c>
      <c r="N256" s="45"/>
      <c r="O256" s="46"/>
      <c r="P256" s="47">
        <f t="shared" si="69"/>
        <v>-0.06421117264119526</v>
      </c>
      <c r="Q256" s="47">
        <f t="shared" si="70"/>
        <v>-0.9182625498938423</v>
      </c>
      <c r="R256" s="47">
        <f t="shared" si="71"/>
        <v>-0.027256025705474522</v>
      </c>
      <c r="S256" s="48">
        <f t="shared" si="72"/>
        <v>266</v>
      </c>
      <c r="T256" s="48">
        <f t="shared" si="68"/>
        <v>-1.6960248309211783</v>
      </c>
      <c r="U256" s="49">
        <f t="shared" si="73"/>
        <v>266</v>
      </c>
      <c r="V256" s="48">
        <f t="shared" si="78"/>
        <v>176</v>
      </c>
      <c r="W256" s="50">
        <f t="shared" si="74"/>
        <v>88.30397516907883</v>
      </c>
      <c r="X256" s="51"/>
      <c r="Y256" s="52"/>
      <c r="Z256" s="53"/>
      <c r="AA256" s="40">
        <v>0</v>
      </c>
      <c r="AB256" s="43">
        <v>2</v>
      </c>
      <c r="AC256" s="54"/>
      <c r="AD256" s="55"/>
      <c r="AE256" s="49">
        <f t="shared" si="75"/>
        <v>266</v>
      </c>
      <c r="AF256" s="48">
        <f t="shared" si="77"/>
        <v>176</v>
      </c>
      <c r="AG256" s="48">
        <f t="shared" si="76"/>
        <v>88.30397516907883</v>
      </c>
      <c r="AH256" s="56"/>
      <c r="AI256" s="53"/>
    </row>
    <row r="257" spans="1:35" s="39" customFormat="1" ht="12.75">
      <c r="A257" s="81">
        <v>267.03</v>
      </c>
      <c r="B257" s="43" t="s">
        <v>44</v>
      </c>
      <c r="C257" s="43" t="s">
        <v>93</v>
      </c>
      <c r="D257" s="43">
        <v>5</v>
      </c>
      <c r="E257" s="40" t="s">
        <v>47</v>
      </c>
      <c r="F257" s="41">
        <v>0</v>
      </c>
      <c r="G257" s="42">
        <v>2</v>
      </c>
      <c r="H257" s="43"/>
      <c r="I257" s="44"/>
      <c r="J257" s="40">
        <v>180</v>
      </c>
      <c r="K257" s="45">
        <v>50</v>
      </c>
      <c r="L257" s="45">
        <v>178</v>
      </c>
      <c r="M257" s="45">
        <v>0</v>
      </c>
      <c r="N257" s="45"/>
      <c r="O257" s="46"/>
      <c r="P257" s="47">
        <f t="shared" si="69"/>
        <v>-0.026734565516599758</v>
      </c>
      <c r="Q257" s="47">
        <f t="shared" si="70"/>
        <v>-0.7655777895420581</v>
      </c>
      <c r="R257" s="47">
        <f t="shared" si="71"/>
        <v>-0.022432964064663607</v>
      </c>
      <c r="S257" s="48">
        <f t="shared" si="72"/>
        <v>268</v>
      </c>
      <c r="T257" s="48">
        <f t="shared" si="68"/>
        <v>-1.6773791015277266</v>
      </c>
      <c r="U257" s="49">
        <f t="shared" si="73"/>
        <v>268</v>
      </c>
      <c r="V257" s="48">
        <f t="shared" si="78"/>
        <v>178</v>
      </c>
      <c r="W257" s="50">
        <f t="shared" si="74"/>
        <v>88.32262089847228</v>
      </c>
      <c r="X257" s="51"/>
      <c r="Y257" s="52"/>
      <c r="Z257" s="53"/>
      <c r="AA257" s="40">
        <v>0</v>
      </c>
      <c r="AB257" s="43">
        <v>2</v>
      </c>
      <c r="AC257" s="54"/>
      <c r="AD257" s="55"/>
      <c r="AE257" s="49">
        <f t="shared" si="75"/>
        <v>268</v>
      </c>
      <c r="AF257" s="48">
        <f t="shared" si="77"/>
        <v>178</v>
      </c>
      <c r="AG257" s="48">
        <f t="shared" si="76"/>
        <v>88.32262089847228</v>
      </c>
      <c r="AH257" s="56"/>
      <c r="AI257" s="53"/>
    </row>
    <row r="258" spans="1:35" s="39" customFormat="1" ht="21">
      <c r="A258" s="81">
        <f>0.17+268.005</f>
        <v>268.175</v>
      </c>
      <c r="B258" s="43" t="s">
        <v>44</v>
      </c>
      <c r="C258" s="43" t="s">
        <v>93</v>
      </c>
      <c r="D258" s="43">
        <v>6</v>
      </c>
      <c r="E258" s="40" t="s">
        <v>47</v>
      </c>
      <c r="F258" s="41">
        <v>17</v>
      </c>
      <c r="G258" s="42">
        <v>17</v>
      </c>
      <c r="H258" s="43"/>
      <c r="I258" s="44"/>
      <c r="J258" s="40">
        <v>90</v>
      </c>
      <c r="K258" s="45">
        <v>1</v>
      </c>
      <c r="L258" s="45">
        <v>0</v>
      </c>
      <c r="M258" s="45">
        <v>5</v>
      </c>
      <c r="N258" s="45"/>
      <c r="O258" s="46"/>
      <c r="P258" s="47">
        <f t="shared" si="69"/>
        <v>0.08714246850588939</v>
      </c>
      <c r="Q258" s="47">
        <f t="shared" si="70"/>
        <v>0.017385994761764077</v>
      </c>
      <c r="R258" s="47">
        <f t="shared" si="71"/>
        <v>-0.9960429728140489</v>
      </c>
      <c r="S258" s="48">
        <f t="shared" si="72"/>
        <v>11.283061820529971</v>
      </c>
      <c r="T258" s="48">
        <f t="shared" si="68"/>
        <v>-84.90197245232014</v>
      </c>
      <c r="U258" s="49">
        <f t="shared" si="73"/>
        <v>11.283061820529971</v>
      </c>
      <c r="V258" s="48">
        <f t="shared" si="78"/>
        <v>281.28306182052995</v>
      </c>
      <c r="W258" s="50">
        <f t="shared" si="74"/>
        <v>5.098027547679862</v>
      </c>
      <c r="X258" s="51"/>
      <c r="Y258" s="52"/>
      <c r="Z258" s="53"/>
      <c r="AA258" s="40">
        <v>15</v>
      </c>
      <c r="AB258" s="43">
        <v>19</v>
      </c>
      <c r="AC258" s="54">
        <v>351.1</v>
      </c>
      <c r="AD258" s="55">
        <v>59.9</v>
      </c>
      <c r="AE258" s="49">
        <f t="shared" si="75"/>
        <v>20.18306182052993</v>
      </c>
      <c r="AF258" s="48">
        <f t="shared" si="77"/>
        <v>290.18306182052993</v>
      </c>
      <c r="AG258" s="48">
        <f t="shared" si="76"/>
        <v>5.098027547679862</v>
      </c>
      <c r="AH258" s="56"/>
      <c r="AI258" s="53"/>
    </row>
    <row r="259" spans="1:35" s="39" customFormat="1" ht="12.75">
      <c r="A259" s="81">
        <f>0.55+272.25</f>
        <v>272.8</v>
      </c>
      <c r="B259" s="43" t="s">
        <v>44</v>
      </c>
      <c r="C259" s="43" t="s">
        <v>94</v>
      </c>
      <c r="D259" s="43">
        <v>1</v>
      </c>
      <c r="E259" s="40" t="s">
        <v>73</v>
      </c>
      <c r="F259" s="41">
        <v>55</v>
      </c>
      <c r="G259" s="42">
        <v>55</v>
      </c>
      <c r="H259" s="43"/>
      <c r="I259" s="44"/>
      <c r="J259" s="40">
        <v>270</v>
      </c>
      <c r="K259" s="45">
        <v>0</v>
      </c>
      <c r="L259" s="45">
        <v>180</v>
      </c>
      <c r="M259" s="45">
        <v>4</v>
      </c>
      <c r="N259" s="45"/>
      <c r="O259" s="46"/>
      <c r="P259" s="47">
        <f t="shared" si="69"/>
        <v>-0.0697564737441253</v>
      </c>
      <c r="Q259" s="47">
        <f t="shared" si="70"/>
        <v>1.2814056343582414E-17</v>
      </c>
      <c r="R259" s="47">
        <f t="shared" si="71"/>
        <v>-0.9975640502598242</v>
      </c>
      <c r="S259" s="48">
        <f t="shared" si="72"/>
        <v>180</v>
      </c>
      <c r="T259" s="48">
        <f t="shared" si="68"/>
        <v>-86.00000000000014</v>
      </c>
      <c r="U259" s="49">
        <f t="shared" si="73"/>
        <v>180</v>
      </c>
      <c r="V259" s="48">
        <f t="shared" si="78"/>
        <v>90</v>
      </c>
      <c r="W259" s="50">
        <f t="shared" si="74"/>
        <v>3.999999999999858</v>
      </c>
      <c r="X259" s="51"/>
      <c r="Y259" s="52"/>
      <c r="Z259" s="53"/>
      <c r="AA259" s="40">
        <v>52</v>
      </c>
      <c r="AB259" s="43">
        <v>58</v>
      </c>
      <c r="AC259" s="54">
        <v>32.6</v>
      </c>
      <c r="AD259" s="55">
        <v>28.2</v>
      </c>
      <c r="AE259" s="49">
        <f t="shared" si="75"/>
        <v>147.4</v>
      </c>
      <c r="AF259" s="48">
        <f t="shared" si="77"/>
        <v>57.400000000000006</v>
      </c>
      <c r="AG259" s="48">
        <f t="shared" si="76"/>
        <v>3.999999999999858</v>
      </c>
      <c r="AH259" s="56"/>
      <c r="AI259" s="53"/>
    </row>
    <row r="260" spans="1:35" s="39" customFormat="1" ht="12.75">
      <c r="A260" s="81">
        <f>0.16+272.835</f>
        <v>272.995</v>
      </c>
      <c r="B260" s="43" t="s">
        <v>44</v>
      </c>
      <c r="C260" s="43" t="s">
        <v>94</v>
      </c>
      <c r="D260" s="43" t="s">
        <v>52</v>
      </c>
      <c r="E260" s="40" t="s">
        <v>73</v>
      </c>
      <c r="F260" s="41">
        <v>16</v>
      </c>
      <c r="G260" s="42">
        <v>16</v>
      </c>
      <c r="H260" s="43"/>
      <c r="I260" s="44"/>
      <c r="J260" s="40">
        <v>90</v>
      </c>
      <c r="K260" s="45">
        <v>2</v>
      </c>
      <c r="L260" s="45">
        <v>180</v>
      </c>
      <c r="M260" s="45">
        <v>1</v>
      </c>
      <c r="N260" s="45"/>
      <c r="O260" s="46"/>
      <c r="P260" s="47">
        <f t="shared" si="69"/>
        <v>0.017441774902830155</v>
      </c>
      <c r="Q260" s="47">
        <f t="shared" si="70"/>
        <v>-0.03489418134011367</v>
      </c>
      <c r="R260" s="47">
        <f t="shared" si="71"/>
        <v>0.9992386149554826</v>
      </c>
      <c r="S260" s="48">
        <f t="shared" si="72"/>
        <v>296.5580680165811</v>
      </c>
      <c r="T260" s="48">
        <f>ASIN(R260/SQRT(P260^2+Q260^2+R260^2))*180/PI()</f>
        <v>87.76429506217735</v>
      </c>
      <c r="U260" s="49">
        <f t="shared" si="73"/>
        <v>116.5580680165811</v>
      </c>
      <c r="V260" s="48">
        <f t="shared" si="78"/>
        <v>26.558068016581103</v>
      </c>
      <c r="W260" s="50">
        <f t="shared" si="74"/>
        <v>2.2357049378226463</v>
      </c>
      <c r="X260" s="51"/>
      <c r="Y260" s="52"/>
      <c r="Z260" s="53"/>
      <c r="AA260" s="40">
        <v>12</v>
      </c>
      <c r="AB260" s="43">
        <v>21</v>
      </c>
      <c r="AC260" s="54"/>
      <c r="AD260" s="55"/>
      <c r="AE260" s="49">
        <f t="shared" si="75"/>
        <v>116.5580680165811</v>
      </c>
      <c r="AF260" s="48">
        <f t="shared" si="77"/>
        <v>26.558068016581103</v>
      </c>
      <c r="AG260" s="48">
        <f t="shared" si="76"/>
        <v>2.2357049378226463</v>
      </c>
      <c r="AH260" s="56"/>
      <c r="AI260" s="53"/>
    </row>
    <row r="261" spans="1:35" s="39" customFormat="1" ht="21.75" thickBot="1">
      <c r="A261" s="82">
        <f>0.115+291.25</f>
        <v>291.365</v>
      </c>
      <c r="B261" s="60" t="s">
        <v>44</v>
      </c>
      <c r="C261" s="60" t="s">
        <v>95</v>
      </c>
      <c r="D261" s="60">
        <v>1</v>
      </c>
      <c r="E261" s="61" t="s">
        <v>47</v>
      </c>
      <c r="F261" s="62">
        <v>11.5</v>
      </c>
      <c r="G261" s="63">
        <v>12</v>
      </c>
      <c r="H261" s="60"/>
      <c r="I261" s="64"/>
      <c r="J261" s="61">
        <v>270</v>
      </c>
      <c r="K261" s="65">
        <v>4</v>
      </c>
      <c r="L261" s="65">
        <v>0</v>
      </c>
      <c r="M261" s="65">
        <v>40</v>
      </c>
      <c r="N261" s="65"/>
      <c r="O261" s="66"/>
      <c r="P261" s="67">
        <f t="shared" si="69"/>
        <v>-0.6412218113757351</v>
      </c>
      <c r="Q261" s="67">
        <f t="shared" si="70"/>
        <v>0.053436559083262204</v>
      </c>
      <c r="R261" s="67">
        <f t="shared" si="71"/>
        <v>0.7641783973567994</v>
      </c>
      <c r="S261" s="68">
        <f t="shared" si="72"/>
        <v>175.236233354418</v>
      </c>
      <c r="T261" s="68">
        <f>ASIN(R261/SQRT(P261^2+Q261^2+R261^2))*180/PI()</f>
        <v>49.902343659928526</v>
      </c>
      <c r="U261" s="69">
        <f t="shared" si="73"/>
        <v>355.236233354418</v>
      </c>
      <c r="V261" s="68">
        <f t="shared" si="78"/>
        <v>265.236233354418</v>
      </c>
      <c r="W261" s="70">
        <f t="shared" si="74"/>
        <v>40.097656340071474</v>
      </c>
      <c r="X261" s="71"/>
      <c r="Y261" s="72"/>
      <c r="Z261" s="73"/>
      <c r="AA261" s="61">
        <v>6</v>
      </c>
      <c r="AB261" s="60">
        <v>12</v>
      </c>
      <c r="AC261" s="74"/>
      <c r="AD261" s="75"/>
      <c r="AE261" s="69">
        <f t="shared" si="75"/>
        <v>355.236233354418</v>
      </c>
      <c r="AF261" s="68">
        <f t="shared" si="77"/>
        <v>265.236233354418</v>
      </c>
      <c r="AG261" s="68">
        <f t="shared" si="76"/>
        <v>40.097656340071474</v>
      </c>
      <c r="AH261" s="76"/>
      <c r="AI261" s="73"/>
    </row>
    <row r="262" spans="5:33" ht="12.75">
      <c r="E262" s="1"/>
      <c r="F262" s="11"/>
      <c r="G262" s="13"/>
      <c r="J262" s="1"/>
      <c r="K262" s="1"/>
      <c r="L262" s="1"/>
      <c r="M262" s="1"/>
      <c r="N262" s="1" t="s">
        <v>42</v>
      </c>
      <c r="O262" s="38" t="s">
        <v>26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25" t="s">
        <v>17</v>
      </c>
      <c r="Z262" s="20"/>
      <c r="AA262" s="1"/>
      <c r="AB262" s="1"/>
      <c r="AC262" s="23"/>
      <c r="AD262" s="1"/>
      <c r="AE262" s="1"/>
      <c r="AF262" s="1"/>
      <c r="AG262" s="1"/>
    </row>
    <row r="263" spans="5:33" ht="12.75">
      <c r="E263" s="1"/>
      <c r="F263" s="11"/>
      <c r="G263" s="13"/>
      <c r="J263" s="1"/>
      <c r="K263" s="1"/>
      <c r="L263" s="1"/>
      <c r="M263" s="1"/>
      <c r="N263" s="1"/>
      <c r="O263" s="33" t="s">
        <v>27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20"/>
      <c r="AA263" s="1"/>
      <c r="AB263" s="1"/>
      <c r="AC263" s="24"/>
      <c r="AD263" s="1"/>
      <c r="AE263" s="1"/>
      <c r="AF263" s="1"/>
      <c r="AG263" s="1"/>
    </row>
    <row r="264" spans="15:26" ht="12.75">
      <c r="O264" s="33" t="s">
        <v>28</v>
      </c>
      <c r="Z264" s="21"/>
    </row>
    <row r="265" ht="12.75">
      <c r="Z265" s="21"/>
    </row>
    <row r="266" ht="12.75">
      <c r="Z266" s="21"/>
    </row>
    <row r="267" ht="12.75">
      <c r="Z267" s="21"/>
    </row>
    <row r="268" ht="12.75">
      <c r="Z268" s="21"/>
    </row>
    <row r="269" ht="12.75">
      <c r="Z269" s="21"/>
    </row>
    <row r="270" ht="12.75">
      <c r="Z270" s="21"/>
    </row>
    <row r="271" ht="12.75">
      <c r="Z271" s="21"/>
    </row>
    <row r="272" ht="12.75">
      <c r="Z272" s="21"/>
    </row>
    <row r="273" ht="12.75">
      <c r="Z273" s="21"/>
    </row>
    <row r="274" ht="12.75">
      <c r="Z274" s="21"/>
    </row>
    <row r="275" ht="12.75">
      <c r="Z275" s="21"/>
    </row>
    <row r="276" ht="12.75">
      <c r="Z276" s="21"/>
    </row>
    <row r="277" ht="12.75">
      <c r="Z277" s="21"/>
    </row>
    <row r="278" ht="12.75">
      <c r="Z278" s="21"/>
    </row>
    <row r="279" ht="12.75">
      <c r="Z279" s="21"/>
    </row>
    <row r="280" ht="12.75">
      <c r="Z280" s="21"/>
    </row>
    <row r="281" ht="12.75">
      <c r="Z281" s="21"/>
    </row>
    <row r="282" ht="12.75">
      <c r="Z282" s="21"/>
    </row>
    <row r="283" ht="12.75">
      <c r="Z283" s="21"/>
    </row>
    <row r="284" ht="12.75">
      <c r="Z284" s="21"/>
    </row>
    <row r="285" ht="12.75">
      <c r="Z285" s="21"/>
    </row>
    <row r="286" ht="12.75">
      <c r="Z286" s="21"/>
    </row>
    <row r="287" ht="12.75">
      <c r="Z287" s="21"/>
    </row>
    <row r="288" ht="12.75">
      <c r="Z288" s="21"/>
    </row>
    <row r="289" ht="12.75">
      <c r="Z289" s="21"/>
    </row>
    <row r="290" ht="12.75">
      <c r="Z290" s="21"/>
    </row>
    <row r="291" ht="12.75">
      <c r="Z291" s="21"/>
    </row>
    <row r="292" ht="12.75">
      <c r="Z292" s="21"/>
    </row>
    <row r="293" ht="12.75">
      <c r="Z293" s="21"/>
    </row>
    <row r="294" ht="12.75">
      <c r="Z294" s="21"/>
    </row>
    <row r="295" ht="12.75">
      <c r="Z295" s="21"/>
    </row>
    <row r="296" ht="12.75">
      <c r="Z296" s="21"/>
    </row>
    <row r="297" ht="12.75">
      <c r="Z297" s="21"/>
    </row>
    <row r="298" ht="12.75">
      <c r="Z298" s="21"/>
    </row>
    <row r="299" ht="12.75">
      <c r="Z299" s="21"/>
    </row>
    <row r="300" ht="12.75">
      <c r="Z300" s="21"/>
    </row>
    <row r="301" ht="12.75">
      <c r="Z301" s="21"/>
    </row>
    <row r="302" ht="12.75">
      <c r="Z302" s="21"/>
    </row>
    <row r="303" ht="12.75">
      <c r="Z303" s="21"/>
    </row>
    <row r="304" ht="12.75">
      <c r="Z304" s="21"/>
    </row>
    <row r="305" ht="12.75">
      <c r="Z305" s="21"/>
    </row>
    <row r="306" ht="12.75">
      <c r="Z306" s="21"/>
    </row>
    <row r="307" ht="12.75">
      <c r="Z307" s="21"/>
    </row>
    <row r="308" ht="12.75">
      <c r="Z308" s="21"/>
    </row>
    <row r="309" ht="12.75">
      <c r="Z309" s="21"/>
    </row>
    <row r="310" ht="12.75">
      <c r="Z310" s="21"/>
    </row>
    <row r="311" ht="12.75">
      <c r="Z311" s="21"/>
    </row>
    <row r="312" ht="12.75">
      <c r="Z312" s="21"/>
    </row>
    <row r="313" ht="12.75">
      <c r="Z313" s="21"/>
    </row>
    <row r="314" ht="12.75">
      <c r="Z314" s="21"/>
    </row>
    <row r="315" ht="12.75">
      <c r="Z315" s="21"/>
    </row>
    <row r="316" ht="12.75">
      <c r="Z316" s="21"/>
    </row>
    <row r="317" ht="12.75">
      <c r="Z317" s="21"/>
    </row>
    <row r="318" ht="12.75">
      <c r="Z318" s="21"/>
    </row>
    <row r="319" ht="12.75">
      <c r="Z319" s="21"/>
    </row>
    <row r="320" ht="12.75">
      <c r="Z320" s="21"/>
    </row>
    <row r="321" ht="12.75">
      <c r="Z321" s="21"/>
    </row>
    <row r="322" ht="12.75">
      <c r="Z322" s="21"/>
    </row>
    <row r="323" ht="12.75">
      <c r="Z323" s="21"/>
    </row>
    <row r="324" ht="12.75">
      <c r="Z324" s="21"/>
    </row>
    <row r="325" ht="12.75">
      <c r="Z325" s="21"/>
    </row>
    <row r="326" ht="12.75">
      <c r="Z326" s="21"/>
    </row>
    <row r="327" ht="12.75">
      <c r="Z327" s="21"/>
    </row>
  </sheetData>
  <mergeCells count="18">
    <mergeCell ref="AC1:AD1"/>
    <mergeCell ref="F1:F2"/>
    <mergeCell ref="G1:G2"/>
    <mergeCell ref="H1:H2"/>
    <mergeCell ref="U1:W1"/>
    <mergeCell ref="N1:O1"/>
    <mergeCell ref="I1:I2"/>
    <mergeCell ref="J1:K1"/>
    <mergeCell ref="AH1:AI1"/>
    <mergeCell ref="B1:B2"/>
    <mergeCell ref="C1:C2"/>
    <mergeCell ref="D1:D2"/>
    <mergeCell ref="AA1:AB1"/>
    <mergeCell ref="L1:M1"/>
    <mergeCell ref="P1:T1"/>
    <mergeCell ref="E1:E2"/>
    <mergeCell ref="X1:Z1"/>
    <mergeCell ref="AE1:AG1"/>
  </mergeCells>
  <printOptions horizontalCentered="1" verticalCentered="1"/>
  <pageMargins left="0.196850393700787" right="0.196850393700787" top="0.511811023622047" bottom="0.196850393700787" header="0.511811023622047" footer="0.196850393700787"/>
  <pageSetup fitToHeight="0" fitToWidth="2" orientation="landscape" pageOrder="overThenDown" paperSize="9" scale="8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4"/>
  <sheetViews>
    <sheetView workbookViewId="0" topLeftCell="F1">
      <selection activeCell="T3" sqref="T3"/>
    </sheetView>
  </sheetViews>
  <sheetFormatPr defaultColWidth="10.75390625" defaultRowHeight="12.75"/>
  <cols>
    <col min="1" max="1" width="7.00390625" style="0" customWidth="1"/>
    <col min="2" max="2" width="3.625" style="0" customWidth="1"/>
    <col min="3" max="3" width="3.375" style="0" customWidth="1"/>
    <col min="4" max="4" width="3.00390625" style="0" customWidth="1"/>
    <col min="5" max="5" width="14.375" style="0" customWidth="1"/>
    <col min="6" max="8" width="6.375" style="0" customWidth="1"/>
    <col min="9" max="9" width="8.875" style="0" customWidth="1"/>
    <col min="10" max="15" width="6.375" style="0" customWidth="1"/>
    <col min="16" max="26" width="8.125" style="0" customWidth="1"/>
    <col min="27" max="33" width="5.375" style="0" customWidth="1"/>
  </cols>
  <sheetData>
    <row r="1" spans="1:35" ht="27" customHeight="1">
      <c r="A1" s="78" t="s">
        <v>97</v>
      </c>
      <c r="B1" s="85" t="s">
        <v>23</v>
      </c>
      <c r="C1" s="85" t="s">
        <v>24</v>
      </c>
      <c r="D1" s="87" t="s">
        <v>19</v>
      </c>
      <c r="E1" s="94" t="s">
        <v>37</v>
      </c>
      <c r="F1" s="102" t="s">
        <v>16</v>
      </c>
      <c r="G1" s="104" t="s">
        <v>20</v>
      </c>
      <c r="H1" s="106" t="s">
        <v>15</v>
      </c>
      <c r="I1" s="111" t="s">
        <v>43</v>
      </c>
      <c r="J1" s="113" t="s">
        <v>38</v>
      </c>
      <c r="K1" s="114"/>
      <c r="L1" s="83" t="s">
        <v>21</v>
      </c>
      <c r="M1" s="91"/>
      <c r="N1" s="83" t="s">
        <v>35</v>
      </c>
      <c r="O1" s="101"/>
      <c r="P1" s="92" t="s">
        <v>36</v>
      </c>
      <c r="Q1" s="93"/>
      <c r="R1" s="93"/>
      <c r="S1" s="93"/>
      <c r="T1" s="93"/>
      <c r="U1" s="108" t="s">
        <v>0</v>
      </c>
      <c r="V1" s="109"/>
      <c r="W1" s="110"/>
      <c r="X1" s="96" t="s">
        <v>1</v>
      </c>
      <c r="Y1" s="92"/>
      <c r="Z1" s="84"/>
      <c r="AA1" s="89" t="s">
        <v>18</v>
      </c>
      <c r="AB1" s="90"/>
      <c r="AC1" s="100" t="s">
        <v>12</v>
      </c>
      <c r="AD1" s="101"/>
      <c r="AE1" s="97" t="s">
        <v>5</v>
      </c>
      <c r="AF1" s="98"/>
      <c r="AG1" s="99"/>
      <c r="AH1" s="83" t="s">
        <v>6</v>
      </c>
      <c r="AI1" s="84"/>
    </row>
    <row r="2" spans="1:36" ht="18" customHeight="1">
      <c r="A2" s="79" t="s">
        <v>2</v>
      </c>
      <c r="B2" s="86"/>
      <c r="C2" s="86"/>
      <c r="D2" s="88"/>
      <c r="E2" s="95"/>
      <c r="F2" s="103"/>
      <c r="G2" s="105"/>
      <c r="H2" s="107"/>
      <c r="I2" s="112"/>
      <c r="J2" s="5" t="s">
        <v>7</v>
      </c>
      <c r="K2" s="4" t="s">
        <v>4</v>
      </c>
      <c r="L2" s="4" t="s">
        <v>7</v>
      </c>
      <c r="M2" s="4" t="s">
        <v>4</v>
      </c>
      <c r="N2" s="7" t="s">
        <v>8</v>
      </c>
      <c r="O2" s="6" t="s">
        <v>29</v>
      </c>
      <c r="P2" s="8" t="s">
        <v>30</v>
      </c>
      <c r="Q2" s="8" t="s">
        <v>31</v>
      </c>
      <c r="R2" s="4" t="s">
        <v>11</v>
      </c>
      <c r="S2" s="8" t="s">
        <v>39</v>
      </c>
      <c r="T2" s="7" t="s">
        <v>4</v>
      </c>
      <c r="U2" s="5" t="s">
        <v>3</v>
      </c>
      <c r="V2" s="32" t="s">
        <v>32</v>
      </c>
      <c r="W2" s="6" t="s">
        <v>4</v>
      </c>
      <c r="X2" s="7" t="s">
        <v>33</v>
      </c>
      <c r="Y2" s="16" t="s">
        <v>34</v>
      </c>
      <c r="Z2" s="17" t="s">
        <v>9</v>
      </c>
      <c r="AA2" s="5" t="s">
        <v>40</v>
      </c>
      <c r="AB2" s="7" t="s">
        <v>22</v>
      </c>
      <c r="AC2" s="5" t="s">
        <v>13</v>
      </c>
      <c r="AD2" s="6" t="s">
        <v>14</v>
      </c>
      <c r="AE2" s="5" t="s">
        <v>3</v>
      </c>
      <c r="AF2" s="4" t="s">
        <v>41</v>
      </c>
      <c r="AG2" s="4" t="s">
        <v>4</v>
      </c>
      <c r="AH2" s="16" t="s">
        <v>10</v>
      </c>
      <c r="AI2" s="17" t="s">
        <v>9</v>
      </c>
      <c r="AJ2" t="s">
        <v>25</v>
      </c>
    </row>
    <row r="3" spans="1:35" s="39" customFormat="1" ht="12.75">
      <c r="A3" s="81">
        <f>16.35+0.7</f>
        <v>17.05</v>
      </c>
      <c r="B3" s="43" t="s">
        <v>96</v>
      </c>
      <c r="C3" s="43" t="s">
        <v>51</v>
      </c>
      <c r="D3" s="43">
        <v>2</v>
      </c>
      <c r="E3" s="40" t="s">
        <v>46</v>
      </c>
      <c r="F3" s="41">
        <v>70</v>
      </c>
      <c r="G3" s="42">
        <v>71</v>
      </c>
      <c r="H3" s="43"/>
      <c r="I3" s="44"/>
      <c r="J3" s="40">
        <v>270</v>
      </c>
      <c r="K3" s="45">
        <v>6</v>
      </c>
      <c r="L3" s="45">
        <v>0</v>
      </c>
      <c r="M3" s="45">
        <v>2</v>
      </c>
      <c r="N3" s="45"/>
      <c r="O3" s="46"/>
      <c r="P3" s="47">
        <f aca="true" t="shared" si="0" ref="P3:P55">COS(K3*PI()/180)*SIN(J3*PI()/180)*(SIN(M3*PI()/180))-(COS(M3*PI()/180)*SIN(L3*PI()/180))*(SIN(K3*PI()/180))</f>
        <v>-0.03470831360797007</v>
      </c>
      <c r="Q3" s="47">
        <f aca="true" t="shared" si="1" ref="Q3:Q55">(SIN(K3*PI()/180))*(COS(M3*PI()/180)*COS(L3*PI()/180))-(SIN(M3*PI()/180))*(COS(K3*PI()/180)*COS(J3*PI()/180))</f>
        <v>0.10446478735209536</v>
      </c>
      <c r="R3" s="47">
        <f aca="true" t="shared" si="2" ref="R3:R55">(COS(K3*PI()/180)*COS(J3*PI()/180))*(COS(M3*PI()/180)*SIN(L3*PI()/180))-(COS(K3*PI()/180)*SIN(J3*PI()/180))*(COS(M3*PI()/180)*COS(L3*PI()/180))</f>
        <v>0.9939160595006973</v>
      </c>
      <c r="S3" s="48">
        <f aca="true" t="shared" si="3" ref="S3:S55">IF(P3=0,IF(Q3&gt;=0,90,270),IF(P3&gt;0,IF(Q3&gt;=0,ATAN(Q3/P3)*180/PI(),ATAN(Q3/P3)*180/PI()+360),ATAN(Q3/P3)*180/PI()+180))</f>
        <v>108.37901197749653</v>
      </c>
      <c r="T3" s="48">
        <f>ASIN(R3/SQRT(P3^2+Q3^2+R3^2))*180/PI()</f>
        <v>83.68004299396074</v>
      </c>
      <c r="U3" s="49">
        <f aca="true" t="shared" si="4" ref="U3:U55">IF(R3&lt;0,S3,IF(S3+180&gt;=360,S3-180,S3+180))</f>
        <v>288.37901197749653</v>
      </c>
      <c r="V3" s="48">
        <f aca="true" t="shared" si="5" ref="V3:V55">IF(U3-90&lt;0,U3+270,U3-90)</f>
        <v>198.37901197749653</v>
      </c>
      <c r="W3" s="50">
        <f aca="true" t="shared" si="6" ref="W3:W55">IF(R3&lt;0,90+T3,90-T3)</f>
        <v>6.31995700603926</v>
      </c>
      <c r="X3" s="51"/>
      <c r="Y3" s="52"/>
      <c r="Z3" s="53"/>
      <c r="AA3" s="40">
        <v>51</v>
      </c>
      <c r="AB3" s="43">
        <v>134</v>
      </c>
      <c r="AC3" s="54"/>
      <c r="AD3" s="55"/>
      <c r="AE3" s="49">
        <f>IF(AD3&gt;=0,IF(U3&gt;=AC3,U3-AC3,U3-AC3+360),IF((U3-AC3-180)&lt;0,IF(U3-AC3+180&lt;0,U3-AC3+540,U3-AC3+180),U3-AC3-180))</f>
        <v>288.37901197749653</v>
      </c>
      <c r="AF3" s="48">
        <f aca="true" t="shared" si="7" ref="AF3:AF35">IF(AE3-90&lt;0,AE3+270,AE3-90)</f>
        <v>198.37901197749653</v>
      </c>
      <c r="AG3" s="48">
        <f>W3</f>
        <v>6.31995700603926</v>
      </c>
      <c r="AH3" s="56"/>
      <c r="AI3" s="53"/>
    </row>
    <row r="4" spans="1:35" s="39" customFormat="1" ht="12.75">
      <c r="A4" s="81">
        <f>1.32+16.35</f>
        <v>17.67</v>
      </c>
      <c r="B4" s="43" t="s">
        <v>96</v>
      </c>
      <c r="C4" s="43" t="s">
        <v>51</v>
      </c>
      <c r="D4" s="43">
        <v>2</v>
      </c>
      <c r="E4" s="40" t="s">
        <v>46</v>
      </c>
      <c r="F4" s="41">
        <v>132</v>
      </c>
      <c r="G4" s="42">
        <v>133</v>
      </c>
      <c r="H4" s="43"/>
      <c r="I4" s="44"/>
      <c r="J4" s="40">
        <v>270</v>
      </c>
      <c r="K4" s="45">
        <v>9</v>
      </c>
      <c r="L4" s="45">
        <v>0</v>
      </c>
      <c r="M4" s="45">
        <v>5</v>
      </c>
      <c r="N4" s="45"/>
      <c r="O4" s="46"/>
      <c r="P4" s="47">
        <f t="shared" si="0"/>
        <v>-0.08608271092777121</v>
      </c>
      <c r="Q4" s="47">
        <f t="shared" si="1"/>
        <v>0.15583918467189653</v>
      </c>
      <c r="R4" s="47">
        <f t="shared" si="2"/>
        <v>0.9839298882679104</v>
      </c>
      <c r="S4" s="48">
        <f t="shared" si="3"/>
        <v>118.91545636591997</v>
      </c>
      <c r="T4" s="48">
        <f>ASIN(R4/SQRT(P4^2+Q4^2+R4^2))*180/PI()</f>
        <v>79.74377297772563</v>
      </c>
      <c r="U4" s="49">
        <f t="shared" si="4"/>
        <v>298.91545636591997</v>
      </c>
      <c r="V4" s="48">
        <f t="shared" si="5"/>
        <v>208.91545636591997</v>
      </c>
      <c r="W4" s="50">
        <f t="shared" si="6"/>
        <v>10.256227022274373</v>
      </c>
      <c r="X4" s="51"/>
      <c r="Y4" s="52"/>
      <c r="Z4" s="53"/>
      <c r="AA4" s="40">
        <v>51</v>
      </c>
      <c r="AB4" s="43">
        <v>134</v>
      </c>
      <c r="AC4" s="54"/>
      <c r="AD4" s="55"/>
      <c r="AE4" s="49">
        <f>IF(AD4&gt;=0,IF(U4&gt;=AC4,U4-AC4,U4-AC4+360),IF((U4-AC4-180)&lt;0,IF(U4-AC4+180&lt;0,U4-AC4+540,U4-AC4+180),U4-AC4-180))</f>
        <v>298.91545636591997</v>
      </c>
      <c r="AF4" s="48">
        <f t="shared" si="7"/>
        <v>208.91545636591997</v>
      </c>
      <c r="AG4" s="48">
        <f>W4</f>
        <v>10.256227022274373</v>
      </c>
      <c r="AH4" s="56"/>
      <c r="AI4" s="53"/>
    </row>
    <row r="5" spans="1:35" s="39" customFormat="1" ht="21">
      <c r="A5" s="81">
        <f>1.13+17.975</f>
        <v>19.105</v>
      </c>
      <c r="B5" s="43" t="s">
        <v>96</v>
      </c>
      <c r="C5" s="43" t="s">
        <v>51</v>
      </c>
      <c r="D5" s="43">
        <v>4</v>
      </c>
      <c r="E5" s="40" t="s">
        <v>46</v>
      </c>
      <c r="F5" s="41">
        <v>113</v>
      </c>
      <c r="G5" s="42">
        <v>114</v>
      </c>
      <c r="H5" s="43"/>
      <c r="I5" s="44"/>
      <c r="J5" s="40">
        <v>270</v>
      </c>
      <c r="K5" s="45">
        <v>6</v>
      </c>
      <c r="L5" s="45">
        <v>180</v>
      </c>
      <c r="M5" s="45">
        <v>8</v>
      </c>
      <c r="N5" s="45"/>
      <c r="O5" s="46"/>
      <c r="P5" s="47">
        <f t="shared" si="0"/>
        <v>-0.13841069615108434</v>
      </c>
      <c r="Q5" s="47">
        <f t="shared" si="1"/>
        <v>-0.10351119944858334</v>
      </c>
      <c r="R5" s="47">
        <f t="shared" si="2"/>
        <v>-0.9848432766475461</v>
      </c>
      <c r="S5" s="48">
        <f t="shared" si="3"/>
        <v>216.79117910834262</v>
      </c>
      <c r="T5" s="48">
        <f>ASIN(R5/SQRT(P5^2+Q5^2+R5^2))*180/PI()</f>
        <v>-80.04621733697256</v>
      </c>
      <c r="U5" s="49">
        <f t="shared" si="4"/>
        <v>216.79117910834262</v>
      </c>
      <c r="V5" s="48">
        <f t="shared" si="5"/>
        <v>126.79117910834262</v>
      </c>
      <c r="W5" s="50">
        <f t="shared" si="6"/>
        <v>9.95378266302744</v>
      </c>
      <c r="X5" s="51"/>
      <c r="Y5" s="52"/>
      <c r="Z5" s="53"/>
      <c r="AA5" s="40">
        <v>101</v>
      </c>
      <c r="AB5" s="43">
        <v>123</v>
      </c>
      <c r="AC5" s="54"/>
      <c r="AD5" s="55"/>
      <c r="AE5" s="49">
        <f>IF(AD5&gt;=0,IF(U5&gt;=AC5,U5-AC5,U5-AC5+360),IF((U5-AC5-180)&lt;0,IF(U5-AC5+180&lt;0,U5-AC5+540,U5-AC5+180),U5-AC5-180))</f>
        <v>216.79117910834262</v>
      </c>
      <c r="AF5" s="48">
        <f t="shared" si="7"/>
        <v>126.79117910834262</v>
      </c>
      <c r="AG5" s="48">
        <f>W5</f>
        <v>9.95378266302744</v>
      </c>
      <c r="AH5" s="56"/>
      <c r="AI5" s="53"/>
    </row>
    <row r="6" spans="1:35" s="39" customFormat="1" ht="21">
      <c r="A6" s="81">
        <f>0.19+23.275</f>
        <v>23.465</v>
      </c>
      <c r="B6" s="43" t="s">
        <v>96</v>
      </c>
      <c r="C6" s="43" t="s">
        <v>51</v>
      </c>
      <c r="D6" s="43">
        <v>9</v>
      </c>
      <c r="E6" s="40" t="s">
        <v>46</v>
      </c>
      <c r="F6" s="41">
        <v>19</v>
      </c>
      <c r="G6" s="42">
        <v>19</v>
      </c>
      <c r="H6" s="43"/>
      <c r="I6" s="44"/>
      <c r="J6" s="40">
        <v>270</v>
      </c>
      <c r="K6" s="45">
        <v>3</v>
      </c>
      <c r="L6" s="45">
        <v>180</v>
      </c>
      <c r="M6" s="45">
        <v>2</v>
      </c>
      <c r="N6" s="45"/>
      <c r="O6" s="46"/>
      <c r="P6" s="47">
        <f t="shared" si="0"/>
        <v>-0.03485166815518733</v>
      </c>
      <c r="Q6" s="47">
        <f t="shared" si="1"/>
        <v>-0.052304074592470835</v>
      </c>
      <c r="R6" s="47">
        <f t="shared" si="2"/>
        <v>-0.9980211966240684</v>
      </c>
      <c r="S6" s="48">
        <f t="shared" si="3"/>
        <v>236.32336918625154</v>
      </c>
      <c r="T6" s="48">
        <f>ASIN(R6/SQRT(P6^2+Q6^2+R6^2))*180/PI()</f>
        <v>-86.39647307521291</v>
      </c>
      <c r="U6" s="49">
        <f t="shared" si="4"/>
        <v>236.32336918625154</v>
      </c>
      <c r="V6" s="48">
        <f t="shared" si="5"/>
        <v>146.32336918625154</v>
      </c>
      <c r="W6" s="50">
        <f t="shared" si="6"/>
        <v>3.60352692478709</v>
      </c>
      <c r="X6" s="51"/>
      <c r="Y6" s="52"/>
      <c r="Z6" s="53"/>
      <c r="AA6" s="40">
        <v>0</v>
      </c>
      <c r="AB6" s="43">
        <v>101</v>
      </c>
      <c r="AC6" s="54"/>
      <c r="AD6" s="55"/>
      <c r="AE6" s="49">
        <f>IF(AD6&gt;=0,IF(U6&gt;=AC6,U6-AC6,U6-AC6+360),IF((U6-AC6-180)&lt;0,IF(U6-AC6+180&lt;0,U6-AC6+540,U6-AC6+180),U6-AC6-180))</f>
        <v>236.32336918625154</v>
      </c>
      <c r="AF6" s="48">
        <f t="shared" si="7"/>
        <v>146.32336918625154</v>
      </c>
      <c r="AG6" s="48">
        <f>W6</f>
        <v>3.60352692478709</v>
      </c>
      <c r="AH6" s="56"/>
      <c r="AI6" s="53"/>
    </row>
    <row r="7" spans="1:35" s="39" customFormat="1" ht="21">
      <c r="A7" s="81">
        <f>0.25+24.585</f>
        <v>24.835</v>
      </c>
      <c r="B7" s="43" t="s">
        <v>96</v>
      </c>
      <c r="C7" s="43" t="s">
        <v>51</v>
      </c>
      <c r="D7" s="43">
        <v>10</v>
      </c>
      <c r="E7" s="40" t="s">
        <v>46</v>
      </c>
      <c r="F7" s="41">
        <v>25</v>
      </c>
      <c r="G7" s="42">
        <v>25</v>
      </c>
      <c r="H7" s="43"/>
      <c r="I7" s="44"/>
      <c r="J7" s="40">
        <v>270</v>
      </c>
      <c r="K7" s="45">
        <v>0</v>
      </c>
      <c r="L7" s="45">
        <v>0</v>
      </c>
      <c r="M7" s="45">
        <v>0</v>
      </c>
      <c r="N7" s="45"/>
      <c r="O7" s="46"/>
      <c r="P7" s="47">
        <f t="shared" si="0"/>
        <v>0</v>
      </c>
      <c r="Q7" s="47">
        <f t="shared" si="1"/>
        <v>0</v>
      </c>
      <c r="R7" s="47">
        <f t="shared" si="2"/>
        <v>1</v>
      </c>
      <c r="S7" s="48">
        <f t="shared" si="3"/>
        <v>90</v>
      </c>
      <c r="T7" s="48">
        <f>ASIN(R7/SQRT(P7^2+Q7^2+R7^2))*180/PI()</f>
        <v>90</v>
      </c>
      <c r="U7" s="49">
        <f t="shared" si="4"/>
        <v>270</v>
      </c>
      <c r="V7" s="48">
        <f t="shared" si="5"/>
        <v>180</v>
      </c>
      <c r="W7" s="50">
        <f t="shared" si="6"/>
        <v>0</v>
      </c>
      <c r="X7" s="51"/>
      <c r="Y7" s="52"/>
      <c r="Z7" s="53"/>
      <c r="AA7" s="40">
        <v>0</v>
      </c>
      <c r="AB7" s="43">
        <v>55</v>
      </c>
      <c r="AC7" s="54"/>
      <c r="AD7" s="55"/>
      <c r="AE7" s="49">
        <f>IF(AD7&gt;=0,IF(U7&gt;=AC7,U7-AC7,U7-AC7+360),IF((U7-AC7-180)&lt;0,IF(U7-AC7+180&lt;0,U7-AC7+540,U7-AC7+180),U7-AC7-180))</f>
        <v>270</v>
      </c>
      <c r="AF7" s="48">
        <f t="shared" si="7"/>
        <v>180</v>
      </c>
      <c r="AG7" s="48">
        <f>W7</f>
        <v>0</v>
      </c>
      <c r="AH7" s="56"/>
      <c r="AI7" s="53"/>
    </row>
    <row r="8" spans="1:35" s="39" customFormat="1" ht="12.75">
      <c r="A8" s="81">
        <f>0.8+29.61</f>
        <v>30.41</v>
      </c>
      <c r="B8" s="43" t="s">
        <v>96</v>
      </c>
      <c r="C8" s="43" t="s">
        <v>53</v>
      </c>
      <c r="D8" s="43">
        <v>6</v>
      </c>
      <c r="E8" s="40" t="s">
        <v>46</v>
      </c>
      <c r="F8" s="41">
        <v>80</v>
      </c>
      <c r="G8" s="42">
        <v>80</v>
      </c>
      <c r="H8" s="43"/>
      <c r="I8" s="44"/>
      <c r="J8" s="40">
        <v>90</v>
      </c>
      <c r="K8" s="45">
        <v>3</v>
      </c>
      <c r="L8" s="45">
        <v>180</v>
      </c>
      <c r="M8" s="45">
        <v>9</v>
      </c>
      <c r="N8" s="45"/>
      <c r="O8" s="46"/>
      <c r="P8" s="47">
        <f t="shared" si="0"/>
        <v>0.1562200770427064</v>
      </c>
      <c r="Q8" s="47">
        <f t="shared" si="1"/>
        <v>-0.051691613775052936</v>
      </c>
      <c r="R8" s="47">
        <f t="shared" si="2"/>
        <v>0.9863347480510395</v>
      </c>
      <c r="S8" s="48">
        <f t="shared" si="3"/>
        <v>341.6911525215017</v>
      </c>
      <c r="T8" s="48">
        <f>ASIN(R8/SQRT(P8^2+Q8^2+R8^2))*180/PI()</f>
        <v>80.52857977265462</v>
      </c>
      <c r="U8" s="49">
        <f t="shared" si="4"/>
        <v>161.6911525215017</v>
      </c>
      <c r="V8" s="48">
        <f t="shared" si="5"/>
        <v>71.69115252150169</v>
      </c>
      <c r="W8" s="50">
        <f t="shared" si="6"/>
        <v>9.471420227345376</v>
      </c>
      <c r="X8" s="51"/>
      <c r="Y8" s="52"/>
      <c r="Z8" s="53"/>
      <c r="AA8" s="40">
        <v>61</v>
      </c>
      <c r="AB8" s="43">
        <v>110</v>
      </c>
      <c r="AC8" s="54"/>
      <c r="AD8" s="55"/>
      <c r="AE8" s="49">
        <f>IF(AD8&gt;=0,IF(U8&gt;=AC8,U8-AC8,U8-AC8+360),IF((U8-AC8-180)&lt;0,IF(U8-AC8+180&lt;0,U8-AC8+540,U8-AC8+180),U8-AC8-180))</f>
        <v>161.6911525215017</v>
      </c>
      <c r="AF8" s="48">
        <f t="shared" si="7"/>
        <v>71.69115252150169</v>
      </c>
      <c r="AG8" s="48">
        <f>W8</f>
        <v>9.471420227345376</v>
      </c>
      <c r="AH8" s="56"/>
      <c r="AI8" s="53"/>
    </row>
    <row r="9" spans="1:35" s="39" customFormat="1" ht="12.75">
      <c r="A9" s="81">
        <f>0.3+30.71</f>
        <v>31.01</v>
      </c>
      <c r="B9" s="43" t="s">
        <v>96</v>
      </c>
      <c r="C9" s="43" t="s">
        <v>53</v>
      </c>
      <c r="D9" s="43">
        <v>7</v>
      </c>
      <c r="E9" s="40" t="s">
        <v>46</v>
      </c>
      <c r="F9" s="41">
        <v>30</v>
      </c>
      <c r="G9" s="42">
        <v>31</v>
      </c>
      <c r="H9" s="43"/>
      <c r="I9" s="44"/>
      <c r="J9" s="40">
        <v>90</v>
      </c>
      <c r="K9" s="45">
        <v>9</v>
      </c>
      <c r="L9" s="45">
        <v>180</v>
      </c>
      <c r="M9" s="45">
        <v>4</v>
      </c>
      <c r="N9" s="45"/>
      <c r="O9" s="46"/>
      <c r="P9" s="47">
        <f t="shared" si="0"/>
        <v>0.0688976557981034</v>
      </c>
      <c r="Q9" s="47">
        <f t="shared" si="1"/>
        <v>-0.15605339854576158</v>
      </c>
      <c r="R9" s="47">
        <f t="shared" si="2"/>
        <v>0.9852823814384903</v>
      </c>
      <c r="S9" s="48">
        <f t="shared" si="3"/>
        <v>293.8214830925075</v>
      </c>
      <c r="T9" s="48">
        <f>ASIN(R9/SQRT(P9^2+Q9^2+R9^2))*180/PI()</f>
        <v>80.17752295184955</v>
      </c>
      <c r="U9" s="49">
        <f t="shared" si="4"/>
        <v>113.82148309250749</v>
      </c>
      <c r="V9" s="48">
        <f t="shared" si="5"/>
        <v>23.821483092507492</v>
      </c>
      <c r="W9" s="50">
        <f t="shared" si="6"/>
        <v>9.822477048150446</v>
      </c>
      <c r="X9" s="51"/>
      <c r="Y9" s="52"/>
      <c r="Z9" s="53"/>
      <c r="AA9" s="40">
        <v>8</v>
      </c>
      <c r="AB9" s="43">
        <v>110</v>
      </c>
      <c r="AC9" s="54"/>
      <c r="AD9" s="55"/>
      <c r="AE9" s="49">
        <f>IF(AD9&gt;=0,IF(U9&gt;=AC9,U9-AC9,U9-AC9+360),IF((U9-AC9-180)&lt;0,IF(U9-AC9+180&lt;0,U9-AC9+540,U9-AC9+180),U9-AC9-180))</f>
        <v>113.82148309250749</v>
      </c>
      <c r="AF9" s="48">
        <f t="shared" si="7"/>
        <v>23.821483092507492</v>
      </c>
      <c r="AG9" s="48">
        <f>W9</f>
        <v>9.822477048150446</v>
      </c>
      <c r="AH9" s="56"/>
      <c r="AI9" s="53"/>
    </row>
    <row r="10" spans="1:35" s="39" customFormat="1" ht="12.75">
      <c r="A10" s="81">
        <f>30.71+0.65</f>
        <v>31.36</v>
      </c>
      <c r="B10" s="43" t="s">
        <v>96</v>
      </c>
      <c r="C10" s="43" t="s">
        <v>53</v>
      </c>
      <c r="D10" s="43">
        <v>7</v>
      </c>
      <c r="E10" s="40" t="s">
        <v>46</v>
      </c>
      <c r="F10" s="41">
        <v>65</v>
      </c>
      <c r="G10" s="42">
        <v>66</v>
      </c>
      <c r="H10" s="43"/>
      <c r="I10" s="44"/>
      <c r="J10" s="40">
        <v>90</v>
      </c>
      <c r="K10" s="45">
        <v>16</v>
      </c>
      <c r="L10" s="45">
        <v>180</v>
      </c>
      <c r="M10" s="45">
        <v>10</v>
      </c>
      <c r="N10" s="45"/>
      <c r="O10" s="46"/>
      <c r="P10" s="47">
        <f t="shared" si="0"/>
        <v>0.16692134176071194</v>
      </c>
      <c r="Q10" s="47">
        <f t="shared" si="1"/>
        <v>-0.2714498050283654</v>
      </c>
      <c r="R10" s="47">
        <f t="shared" si="2"/>
        <v>0.9466579708337202</v>
      </c>
      <c r="S10" s="48">
        <f t="shared" si="3"/>
        <v>301.5884084682143</v>
      </c>
      <c r="T10" s="48">
        <f>ASIN(R10/SQRT(P10^2+Q10^2+R10^2))*180/PI()</f>
        <v>71.39565391840631</v>
      </c>
      <c r="U10" s="49">
        <f t="shared" si="4"/>
        <v>121.58840846821431</v>
      </c>
      <c r="V10" s="48">
        <f t="shared" si="5"/>
        <v>31.58840846821431</v>
      </c>
      <c r="W10" s="50">
        <f t="shared" si="6"/>
        <v>18.60434608159369</v>
      </c>
      <c r="X10" s="51"/>
      <c r="Y10" s="52"/>
      <c r="Z10" s="53"/>
      <c r="AA10" s="40">
        <v>8</v>
      </c>
      <c r="AB10" s="43">
        <v>110</v>
      </c>
      <c r="AC10" s="54"/>
      <c r="AD10" s="55"/>
      <c r="AE10" s="49">
        <f>IF(AD10&gt;=0,IF(U10&gt;=AC10,U10-AC10,U10-AC10+360),IF((U10-AC10-180)&lt;0,IF(U10-AC10+180&lt;0,U10-AC10+540,U10-AC10+180),U10-AC10-180))</f>
        <v>121.58840846821431</v>
      </c>
      <c r="AF10" s="48">
        <f t="shared" si="7"/>
        <v>31.58840846821431</v>
      </c>
      <c r="AG10" s="48">
        <f>W10</f>
        <v>18.60434608159369</v>
      </c>
      <c r="AH10" s="56"/>
      <c r="AI10" s="53"/>
    </row>
    <row r="11" spans="1:35" s="39" customFormat="1" ht="12.75">
      <c r="A11" s="81">
        <f>1.09+33.335</f>
        <v>34.425000000000004</v>
      </c>
      <c r="B11" s="43" t="s">
        <v>96</v>
      </c>
      <c r="C11" s="43" t="s">
        <v>53</v>
      </c>
      <c r="D11" s="43">
        <v>9</v>
      </c>
      <c r="E11" s="40" t="s">
        <v>46</v>
      </c>
      <c r="F11" s="41">
        <v>109</v>
      </c>
      <c r="G11" s="42">
        <v>109</v>
      </c>
      <c r="H11" s="43"/>
      <c r="I11" s="44"/>
      <c r="J11" s="40">
        <v>270</v>
      </c>
      <c r="K11" s="45">
        <v>1</v>
      </c>
      <c r="L11" s="45">
        <v>180</v>
      </c>
      <c r="M11" s="45">
        <v>7</v>
      </c>
      <c r="N11" s="45"/>
      <c r="O11" s="46"/>
      <c r="P11" s="47">
        <f t="shared" si="0"/>
        <v>-0.12185078211385945</v>
      </c>
      <c r="Q11" s="47">
        <f t="shared" si="1"/>
        <v>-0.017322318846205963</v>
      </c>
      <c r="R11" s="47">
        <f t="shared" si="2"/>
        <v>-0.9923949820549218</v>
      </c>
      <c r="S11" s="48">
        <f t="shared" si="3"/>
        <v>188.09095943729798</v>
      </c>
      <c r="T11" s="48">
        <f>ASIN(R11/SQRT(P11^2+Q11^2+R11^2))*180/PI()</f>
        <v>-82.93032926402522</v>
      </c>
      <c r="U11" s="49">
        <f t="shared" si="4"/>
        <v>188.09095943729798</v>
      </c>
      <c r="V11" s="48">
        <f t="shared" si="5"/>
        <v>98.09095943729798</v>
      </c>
      <c r="W11" s="50">
        <f t="shared" si="6"/>
        <v>7.069670735974782</v>
      </c>
      <c r="X11" s="51"/>
      <c r="Y11" s="52"/>
      <c r="Z11" s="53"/>
      <c r="AA11" s="40">
        <v>0</v>
      </c>
      <c r="AB11" s="43">
        <v>128</v>
      </c>
      <c r="AC11" s="54"/>
      <c r="AD11" s="55"/>
      <c r="AE11" s="49">
        <f>IF(AD11&gt;=0,IF(U11&gt;=AC11,U11-AC11,U11-AC11+360),IF((U11-AC11-180)&lt;0,IF(U11-AC11+180&lt;0,U11-AC11+540,U11-AC11+180),U11-AC11-180))</f>
        <v>188.09095943729798</v>
      </c>
      <c r="AF11" s="48">
        <f t="shared" si="7"/>
        <v>98.09095943729798</v>
      </c>
      <c r="AG11" s="48">
        <f>W11</f>
        <v>7.069670735974782</v>
      </c>
      <c r="AH11" s="56"/>
      <c r="AI11" s="53"/>
    </row>
    <row r="12" spans="1:35" s="39" customFormat="1" ht="21">
      <c r="A12" s="81">
        <f>0.54+34.645</f>
        <v>35.185</v>
      </c>
      <c r="B12" s="43" t="s">
        <v>96</v>
      </c>
      <c r="C12" s="43" t="s">
        <v>53</v>
      </c>
      <c r="D12" s="43">
        <v>10</v>
      </c>
      <c r="E12" s="40" t="s">
        <v>46</v>
      </c>
      <c r="F12" s="41">
        <v>54</v>
      </c>
      <c r="G12" s="42">
        <v>55</v>
      </c>
      <c r="H12" s="43"/>
      <c r="I12" s="44"/>
      <c r="J12" s="40">
        <v>90</v>
      </c>
      <c r="K12" s="45">
        <v>8</v>
      </c>
      <c r="L12" s="45">
        <v>0</v>
      </c>
      <c r="M12" s="45">
        <v>8</v>
      </c>
      <c r="N12" s="45"/>
      <c r="O12" s="46"/>
      <c r="P12" s="47">
        <f t="shared" si="0"/>
        <v>0.13781867790849958</v>
      </c>
      <c r="Q12" s="47">
        <f t="shared" si="1"/>
        <v>0.13781867790849958</v>
      </c>
      <c r="R12" s="47">
        <f t="shared" si="2"/>
        <v>-0.9806308479691596</v>
      </c>
      <c r="S12" s="48">
        <f t="shared" si="3"/>
        <v>45</v>
      </c>
      <c r="T12" s="48">
        <f>ASIN(R12/SQRT(P12^2+Q12^2+R12^2))*180/PI()</f>
        <v>-78.75868710958437</v>
      </c>
      <c r="U12" s="49">
        <f t="shared" si="4"/>
        <v>45</v>
      </c>
      <c r="V12" s="48">
        <f t="shared" si="5"/>
        <v>315</v>
      </c>
      <c r="W12" s="50">
        <f t="shared" si="6"/>
        <v>11.241312890415628</v>
      </c>
      <c r="X12" s="51"/>
      <c r="Y12" s="52"/>
      <c r="Z12" s="53"/>
      <c r="AA12" s="40">
        <v>48</v>
      </c>
      <c r="AB12" s="43">
        <v>77</v>
      </c>
      <c r="AC12" s="54"/>
      <c r="AD12" s="55"/>
      <c r="AE12" s="49">
        <f>IF(AD12&gt;=0,IF(U12&gt;=AC12,U12-AC12,U12-AC12+360),IF((U12-AC12-180)&lt;0,IF(U12-AC12+180&lt;0,U12-AC12+540,U12-AC12+180),U12-AC12-180))</f>
        <v>45</v>
      </c>
      <c r="AF12" s="48">
        <f t="shared" si="7"/>
        <v>315</v>
      </c>
      <c r="AG12" s="48">
        <f>W12</f>
        <v>11.241312890415628</v>
      </c>
      <c r="AH12" s="56"/>
      <c r="AI12" s="53"/>
    </row>
    <row r="13" spans="1:35" s="39" customFormat="1" ht="21">
      <c r="A13" s="81">
        <f>0.17+36.92</f>
        <v>37.09</v>
      </c>
      <c r="B13" s="43" t="s">
        <v>96</v>
      </c>
      <c r="C13" s="43" t="s">
        <v>53</v>
      </c>
      <c r="D13" s="43" t="s">
        <v>52</v>
      </c>
      <c r="E13" s="40" t="s">
        <v>46</v>
      </c>
      <c r="F13" s="41">
        <v>17</v>
      </c>
      <c r="G13" s="42">
        <v>18</v>
      </c>
      <c r="H13" s="43"/>
      <c r="I13" s="44"/>
      <c r="J13" s="40">
        <v>270</v>
      </c>
      <c r="K13" s="45">
        <v>3</v>
      </c>
      <c r="L13" s="45">
        <v>0</v>
      </c>
      <c r="M13" s="45">
        <v>19</v>
      </c>
      <c r="N13" s="45"/>
      <c r="O13" s="46"/>
      <c r="P13" s="47">
        <f t="shared" si="0"/>
        <v>-0.3251219746164556</v>
      </c>
      <c r="Q13" s="47">
        <f t="shared" si="1"/>
        <v>0.04948461879945648</v>
      </c>
      <c r="R13" s="47">
        <f t="shared" si="2"/>
        <v>0.9442227752525532</v>
      </c>
      <c r="S13" s="48">
        <f t="shared" si="3"/>
        <v>171.34581578590405</v>
      </c>
      <c r="T13" s="48">
        <f>ASIN(R13/SQRT(P13^2+Q13^2+R13^2))*180/PI()</f>
        <v>70.79712563594816</v>
      </c>
      <c r="U13" s="49">
        <f t="shared" si="4"/>
        <v>351.34581578590405</v>
      </c>
      <c r="V13" s="48">
        <f t="shared" si="5"/>
        <v>261.34581578590405</v>
      </c>
      <c r="W13" s="50">
        <f t="shared" si="6"/>
        <v>19.202874364051837</v>
      </c>
      <c r="X13" s="51"/>
      <c r="Y13" s="52"/>
      <c r="Z13" s="53"/>
      <c r="AA13" s="40">
        <v>5</v>
      </c>
      <c r="AB13" s="43">
        <v>34</v>
      </c>
      <c r="AC13" s="54"/>
      <c r="AD13" s="55"/>
      <c r="AE13" s="49">
        <f>IF(AD13&gt;=0,IF(U13&gt;=AC13,U13-AC13,U13-AC13+360),IF((U13-AC13-180)&lt;0,IF(U13-AC13+180&lt;0,U13-AC13+540,U13-AC13+180),U13-AC13-180))</f>
        <v>351.34581578590405</v>
      </c>
      <c r="AF13" s="48">
        <f t="shared" si="7"/>
        <v>261.34581578590405</v>
      </c>
      <c r="AG13" s="48">
        <f>W13</f>
        <v>19.202874364051837</v>
      </c>
      <c r="AH13" s="56"/>
      <c r="AI13" s="53"/>
    </row>
    <row r="14" spans="1:36" s="39" customFormat="1" ht="12.75">
      <c r="A14" s="81">
        <f>0.09+34.01</f>
        <v>34.1</v>
      </c>
      <c r="B14" s="43" t="s">
        <v>96</v>
      </c>
      <c r="C14" s="43" t="s">
        <v>55</v>
      </c>
      <c r="D14" s="43">
        <v>1</v>
      </c>
      <c r="E14" s="40" t="s">
        <v>46</v>
      </c>
      <c r="F14" s="41">
        <v>9</v>
      </c>
      <c r="G14" s="42">
        <v>29</v>
      </c>
      <c r="H14" s="43"/>
      <c r="I14" s="44"/>
      <c r="J14" s="40"/>
      <c r="K14" s="45"/>
      <c r="L14" s="45"/>
      <c r="M14" s="45"/>
      <c r="N14" s="45"/>
      <c r="O14" s="46"/>
      <c r="P14" s="47"/>
      <c r="Q14" s="47"/>
      <c r="R14" s="47"/>
      <c r="S14" s="48"/>
      <c r="T14" s="48"/>
      <c r="U14" s="49"/>
      <c r="V14" s="48"/>
      <c r="W14" s="50"/>
      <c r="X14" s="51"/>
      <c r="Y14" s="52"/>
      <c r="Z14" s="53"/>
      <c r="AA14" s="40">
        <v>0</v>
      </c>
      <c r="AB14" s="43">
        <v>29</v>
      </c>
      <c r="AC14" s="54"/>
      <c r="AD14" s="55"/>
      <c r="AE14" s="49"/>
      <c r="AF14" s="48"/>
      <c r="AG14" s="48"/>
      <c r="AH14" s="56"/>
      <c r="AI14" s="53"/>
      <c r="AJ14" s="39" t="s">
        <v>99</v>
      </c>
    </row>
    <row r="15" spans="1:35" s="39" customFormat="1" ht="12.75">
      <c r="A15" s="81">
        <f>0.6+34.395</f>
        <v>34.995000000000005</v>
      </c>
      <c r="B15" s="43" t="s">
        <v>96</v>
      </c>
      <c r="C15" s="43" t="s">
        <v>55</v>
      </c>
      <c r="D15" s="43">
        <v>2</v>
      </c>
      <c r="E15" s="40" t="s">
        <v>46</v>
      </c>
      <c r="F15" s="41">
        <v>60</v>
      </c>
      <c r="G15" s="42">
        <v>61</v>
      </c>
      <c r="H15" s="43"/>
      <c r="I15" s="44"/>
      <c r="J15" s="40">
        <v>270</v>
      </c>
      <c r="K15" s="45">
        <v>4</v>
      </c>
      <c r="L15" s="45">
        <v>180</v>
      </c>
      <c r="M15" s="45">
        <v>1</v>
      </c>
      <c r="N15" s="45"/>
      <c r="O15" s="46"/>
      <c r="P15" s="47">
        <f t="shared" si="0"/>
        <v>-0.017409893252357176</v>
      </c>
      <c r="Q15" s="47">
        <f t="shared" si="1"/>
        <v>-0.06974584949530101</v>
      </c>
      <c r="R15" s="47">
        <f t="shared" si="2"/>
        <v>-0.9974121164231596</v>
      </c>
      <c r="S15" s="48">
        <f t="shared" si="3"/>
        <v>255.98430083594644</v>
      </c>
      <c r="T15" s="48">
        <f>ASIN(R15/SQRT(P15^2+Q15^2+R15^2))*180/PI()</f>
        <v>-85.87768053918494</v>
      </c>
      <c r="U15" s="49">
        <f t="shared" si="4"/>
        <v>255.98430083594644</v>
      </c>
      <c r="V15" s="48">
        <f t="shared" si="5"/>
        <v>165.98430083594644</v>
      </c>
      <c r="W15" s="50">
        <f t="shared" si="6"/>
        <v>4.1223194608150635</v>
      </c>
      <c r="X15" s="51"/>
      <c r="Y15" s="52"/>
      <c r="Z15" s="53"/>
      <c r="AA15" s="40">
        <v>30</v>
      </c>
      <c r="AB15" s="43">
        <v>100</v>
      </c>
      <c r="AC15" s="54"/>
      <c r="AD15" s="55"/>
      <c r="AE15" s="49">
        <f>IF(AD15&gt;=0,IF(U15&gt;=AC15,U15-AC15,U15-AC15+360),IF((U15-AC15-180)&lt;0,IF(U15-AC15+180&lt;0,U15-AC15+540,U15-AC15+180),U15-AC15-180))</f>
        <v>255.98430083594644</v>
      </c>
      <c r="AF15" s="48">
        <f t="shared" si="7"/>
        <v>165.98430083594644</v>
      </c>
      <c r="AG15" s="48">
        <f>W15</f>
        <v>4.1223194608150635</v>
      </c>
      <c r="AH15" s="56"/>
      <c r="AI15" s="53"/>
    </row>
    <row r="16" spans="1:36" s="39" customFormat="1" ht="12.75">
      <c r="A16" s="81">
        <f>0.86+34.395</f>
        <v>35.255</v>
      </c>
      <c r="B16" s="43" t="s">
        <v>96</v>
      </c>
      <c r="C16" s="43" t="s">
        <v>55</v>
      </c>
      <c r="D16" s="43">
        <v>2</v>
      </c>
      <c r="E16" s="40" t="s">
        <v>47</v>
      </c>
      <c r="F16" s="41">
        <v>86</v>
      </c>
      <c r="G16" s="42">
        <v>92</v>
      </c>
      <c r="H16" s="43"/>
      <c r="I16" s="44"/>
      <c r="J16" s="40">
        <v>90</v>
      </c>
      <c r="K16" s="45">
        <v>66</v>
      </c>
      <c r="L16" s="45">
        <v>188</v>
      </c>
      <c r="M16" s="45">
        <v>0</v>
      </c>
      <c r="N16" s="45"/>
      <c r="O16" s="46"/>
      <c r="P16" s="47">
        <f t="shared" si="0"/>
        <v>0.12714095420810295</v>
      </c>
      <c r="Q16" s="47">
        <f t="shared" si="1"/>
        <v>-0.9046548960473724</v>
      </c>
      <c r="R16" s="47">
        <f t="shared" si="2"/>
        <v>0.402778310025102</v>
      </c>
      <c r="S16" s="48">
        <f t="shared" si="3"/>
        <v>278</v>
      </c>
      <c r="T16" s="48">
        <f>ASIN(R16/SQRT(P16^2+Q16^2+R16^2))*180/PI()</f>
        <v>23.792478544095214</v>
      </c>
      <c r="U16" s="49">
        <f t="shared" si="4"/>
        <v>98</v>
      </c>
      <c r="V16" s="48">
        <f t="shared" si="5"/>
        <v>8</v>
      </c>
      <c r="W16" s="50">
        <f t="shared" si="6"/>
        <v>66.20752145590478</v>
      </c>
      <c r="X16" s="51"/>
      <c r="Y16" s="52"/>
      <c r="Z16" s="53"/>
      <c r="AA16" s="40">
        <v>30</v>
      </c>
      <c r="AB16" s="43">
        <v>100</v>
      </c>
      <c r="AC16" s="54"/>
      <c r="AD16" s="55"/>
      <c r="AE16" s="49">
        <f>IF(AD16&gt;=0,IF(U16&gt;=AC16,U16-AC16,U16-AC16+360),IF((U16-AC16-180)&lt;0,IF(U16-AC16+180&lt;0,U16-AC16+540,U16-AC16+180),U16-AC16-180))</f>
        <v>98</v>
      </c>
      <c r="AF16" s="48">
        <f t="shared" si="7"/>
        <v>8</v>
      </c>
      <c r="AG16" s="48">
        <f>W16</f>
        <v>66.20752145590478</v>
      </c>
      <c r="AH16" s="56"/>
      <c r="AI16" s="53"/>
      <c r="AJ16" s="39" t="s">
        <v>100</v>
      </c>
    </row>
    <row r="17" spans="1:36" s="39" customFormat="1" ht="12.75">
      <c r="A17" s="81">
        <f>0.87+34.395</f>
        <v>35.265</v>
      </c>
      <c r="B17" s="43" t="s">
        <v>96</v>
      </c>
      <c r="C17" s="43" t="s">
        <v>55</v>
      </c>
      <c r="D17" s="43">
        <v>2</v>
      </c>
      <c r="E17" s="40" t="s">
        <v>47</v>
      </c>
      <c r="F17" s="41">
        <v>87</v>
      </c>
      <c r="G17" s="42">
        <v>92</v>
      </c>
      <c r="H17" s="43"/>
      <c r="I17" s="44"/>
      <c r="J17" s="40">
        <v>90</v>
      </c>
      <c r="K17" s="45">
        <v>69</v>
      </c>
      <c r="L17" s="45">
        <v>181</v>
      </c>
      <c r="M17" s="45">
        <v>0</v>
      </c>
      <c r="N17" s="45"/>
      <c r="O17" s="46"/>
      <c r="P17" s="47">
        <f t="shared" si="0"/>
        <v>0.016293225045121353</v>
      </c>
      <c r="Q17" s="47">
        <f t="shared" si="1"/>
        <v>-0.9334382376763479</v>
      </c>
      <c r="R17" s="47">
        <f t="shared" si="2"/>
        <v>0.3583133683707905</v>
      </c>
      <c r="S17" s="48">
        <f t="shared" si="3"/>
        <v>271</v>
      </c>
      <c r="T17" s="48">
        <f>ASIN(R17/SQRT(P17^2+Q17^2+R17^2))*180/PI()</f>
        <v>20.99708038395622</v>
      </c>
      <c r="U17" s="49">
        <f t="shared" si="4"/>
        <v>91</v>
      </c>
      <c r="V17" s="48">
        <f t="shared" si="5"/>
        <v>1</v>
      </c>
      <c r="W17" s="50">
        <f t="shared" si="6"/>
        <v>69.00291961604378</v>
      </c>
      <c r="X17" s="51"/>
      <c r="Y17" s="52"/>
      <c r="Z17" s="53"/>
      <c r="AA17" s="40">
        <v>30</v>
      </c>
      <c r="AB17" s="43">
        <v>100</v>
      </c>
      <c r="AC17" s="54"/>
      <c r="AD17" s="55"/>
      <c r="AE17" s="49">
        <f>IF(AD17&gt;=0,IF(U17&gt;=AC17,U17-AC17,U17-AC17+360),IF((U17-AC17-180)&lt;0,IF(U17-AC17+180&lt;0,U17-AC17+540,U17-AC17+180),U17-AC17-180))</f>
        <v>91</v>
      </c>
      <c r="AF17" s="48">
        <f t="shared" si="7"/>
        <v>1</v>
      </c>
      <c r="AG17" s="48">
        <f>W17</f>
        <v>69.00291961604378</v>
      </c>
      <c r="AH17" s="56"/>
      <c r="AI17" s="53"/>
      <c r="AJ17" s="39" t="s">
        <v>101</v>
      </c>
    </row>
    <row r="18" spans="1:36" s="39" customFormat="1" ht="12.75">
      <c r="A18" s="81">
        <f>0.63+34.395</f>
        <v>35.025000000000006</v>
      </c>
      <c r="B18" s="43" t="s">
        <v>96</v>
      </c>
      <c r="C18" s="43" t="s">
        <v>55</v>
      </c>
      <c r="D18" s="43">
        <v>2</v>
      </c>
      <c r="E18" s="40" t="s">
        <v>102</v>
      </c>
      <c r="F18" s="41">
        <v>63</v>
      </c>
      <c r="G18" s="42">
        <v>93</v>
      </c>
      <c r="H18" s="43"/>
      <c r="I18" s="44"/>
      <c r="J18" s="40"/>
      <c r="K18" s="45"/>
      <c r="L18" s="45"/>
      <c r="M18" s="45"/>
      <c r="N18" s="45"/>
      <c r="O18" s="46"/>
      <c r="P18" s="47"/>
      <c r="Q18" s="47"/>
      <c r="R18" s="47"/>
      <c r="S18" s="48"/>
      <c r="T18" s="48"/>
      <c r="U18" s="49"/>
      <c r="V18" s="48"/>
      <c r="W18" s="50"/>
      <c r="X18" s="51"/>
      <c r="Y18" s="52"/>
      <c r="Z18" s="53"/>
      <c r="AA18" s="40">
        <v>30</v>
      </c>
      <c r="AB18" s="43">
        <v>100</v>
      </c>
      <c r="AC18" s="54"/>
      <c r="AD18" s="55"/>
      <c r="AE18" s="49"/>
      <c r="AF18" s="48"/>
      <c r="AG18" s="48"/>
      <c r="AH18" s="56"/>
      <c r="AI18" s="53"/>
      <c r="AJ18" s="39" t="s">
        <v>99</v>
      </c>
    </row>
    <row r="19" spans="1:36" s="39" customFormat="1" ht="12.75">
      <c r="A19" s="81">
        <f>34.395+0.7</f>
        <v>35.095000000000006</v>
      </c>
      <c r="B19" s="43" t="s">
        <v>96</v>
      </c>
      <c r="C19" s="43" t="s">
        <v>55</v>
      </c>
      <c r="D19" s="43">
        <v>2</v>
      </c>
      <c r="E19" s="40" t="s">
        <v>46</v>
      </c>
      <c r="F19" s="41">
        <v>70</v>
      </c>
      <c r="G19" s="42">
        <v>70</v>
      </c>
      <c r="H19" s="43"/>
      <c r="I19" s="44"/>
      <c r="J19" s="40"/>
      <c r="K19" s="45"/>
      <c r="L19" s="45"/>
      <c r="M19" s="45"/>
      <c r="N19" s="45"/>
      <c r="O19" s="46"/>
      <c r="P19" s="47"/>
      <c r="Q19" s="47"/>
      <c r="R19" s="47"/>
      <c r="S19" s="48"/>
      <c r="T19" s="48"/>
      <c r="U19" s="49"/>
      <c r="V19" s="48"/>
      <c r="W19" s="50"/>
      <c r="X19" s="51"/>
      <c r="Y19" s="52"/>
      <c r="Z19" s="53"/>
      <c r="AA19" s="40">
        <v>30</v>
      </c>
      <c r="AB19" s="43">
        <v>100</v>
      </c>
      <c r="AC19" s="54"/>
      <c r="AD19" s="55"/>
      <c r="AE19" s="49"/>
      <c r="AF19" s="48"/>
      <c r="AG19" s="48"/>
      <c r="AH19" s="56"/>
      <c r="AI19" s="53"/>
      <c r="AJ19" s="39" t="s">
        <v>99</v>
      </c>
    </row>
    <row r="20" spans="1:36" s="39" customFormat="1" ht="12.75">
      <c r="A20" s="81">
        <f>0.05+35.4</f>
        <v>35.449999999999996</v>
      </c>
      <c r="B20" s="43" t="s">
        <v>96</v>
      </c>
      <c r="C20" s="43" t="s">
        <v>55</v>
      </c>
      <c r="D20" s="43">
        <v>3</v>
      </c>
      <c r="E20" s="40" t="s">
        <v>102</v>
      </c>
      <c r="F20" s="41">
        <v>5</v>
      </c>
      <c r="G20" s="42">
        <v>61</v>
      </c>
      <c r="H20" s="43"/>
      <c r="I20" s="44"/>
      <c r="J20" s="40"/>
      <c r="K20" s="45"/>
      <c r="L20" s="45"/>
      <c r="M20" s="45"/>
      <c r="N20" s="45"/>
      <c r="O20" s="46"/>
      <c r="P20" s="47"/>
      <c r="Q20" s="47"/>
      <c r="R20" s="47"/>
      <c r="S20" s="48"/>
      <c r="T20" s="48"/>
      <c r="U20" s="49"/>
      <c r="V20" s="48"/>
      <c r="W20" s="50"/>
      <c r="X20" s="51"/>
      <c r="Y20" s="52"/>
      <c r="Z20" s="53"/>
      <c r="AA20" s="40">
        <v>0</v>
      </c>
      <c r="AB20" s="43">
        <v>130</v>
      </c>
      <c r="AC20" s="54"/>
      <c r="AD20" s="55"/>
      <c r="AE20" s="49"/>
      <c r="AF20" s="48"/>
      <c r="AG20" s="48"/>
      <c r="AH20" s="56"/>
      <c r="AI20" s="53"/>
      <c r="AJ20" s="39" t="s">
        <v>99</v>
      </c>
    </row>
    <row r="21" spans="1:36" s="39" customFormat="1" ht="12.75">
      <c r="A21" s="81">
        <f>0.19+35.4</f>
        <v>35.589999999999996</v>
      </c>
      <c r="B21" s="43" t="s">
        <v>96</v>
      </c>
      <c r="C21" s="43" t="s">
        <v>55</v>
      </c>
      <c r="D21" s="43">
        <v>3</v>
      </c>
      <c r="E21" s="40" t="s">
        <v>47</v>
      </c>
      <c r="F21" s="41">
        <v>19</v>
      </c>
      <c r="G21" s="42">
        <v>29</v>
      </c>
      <c r="H21" s="1"/>
      <c r="I21" s="30"/>
      <c r="J21" s="40"/>
      <c r="K21" s="45"/>
      <c r="L21" s="45"/>
      <c r="M21" s="45"/>
      <c r="N21" s="45"/>
      <c r="O21" s="46"/>
      <c r="P21" s="47"/>
      <c r="Q21" s="47"/>
      <c r="R21" s="47"/>
      <c r="S21" s="48"/>
      <c r="T21" s="48"/>
      <c r="U21" s="49"/>
      <c r="V21" s="48"/>
      <c r="W21" s="50"/>
      <c r="X21" s="51"/>
      <c r="Y21" s="52"/>
      <c r="Z21" s="53" t="s">
        <v>48</v>
      </c>
      <c r="AA21" s="40">
        <v>0</v>
      </c>
      <c r="AB21" s="43">
        <v>130</v>
      </c>
      <c r="AC21" s="54"/>
      <c r="AD21" s="55"/>
      <c r="AE21" s="49"/>
      <c r="AF21" s="48"/>
      <c r="AG21" s="48"/>
      <c r="AH21" s="56"/>
      <c r="AI21" s="53" t="str">
        <f>Z21</f>
        <v>N</v>
      </c>
      <c r="AJ21" s="39" t="s">
        <v>103</v>
      </c>
    </row>
    <row r="22" spans="1:36" s="39" customFormat="1" ht="21">
      <c r="A22" s="81">
        <f>0.65+35.4</f>
        <v>36.05</v>
      </c>
      <c r="B22" s="43" t="s">
        <v>96</v>
      </c>
      <c r="C22" s="43" t="s">
        <v>55</v>
      </c>
      <c r="D22" s="43">
        <v>3</v>
      </c>
      <c r="E22" s="40" t="s">
        <v>102</v>
      </c>
      <c r="F22" s="41">
        <v>65</v>
      </c>
      <c r="G22" s="42">
        <v>130</v>
      </c>
      <c r="H22" s="1"/>
      <c r="I22" s="30"/>
      <c r="J22" s="40"/>
      <c r="K22" s="45"/>
      <c r="L22" s="45"/>
      <c r="M22" s="45"/>
      <c r="N22" s="45"/>
      <c r="O22" s="46"/>
      <c r="P22" s="47"/>
      <c r="Q22" s="47"/>
      <c r="R22" s="47"/>
      <c r="S22" s="48"/>
      <c r="T22" s="48"/>
      <c r="U22" s="49"/>
      <c r="V22" s="48"/>
      <c r="W22" s="50"/>
      <c r="X22" s="51"/>
      <c r="Y22" s="52"/>
      <c r="Z22" s="53"/>
      <c r="AA22" s="40">
        <v>0</v>
      </c>
      <c r="AB22" s="43">
        <v>130</v>
      </c>
      <c r="AC22" s="54"/>
      <c r="AD22" s="55"/>
      <c r="AE22" s="49"/>
      <c r="AF22" s="48"/>
      <c r="AG22" s="48"/>
      <c r="AH22" s="56"/>
      <c r="AI22" s="53"/>
      <c r="AJ22" s="39" t="s">
        <v>99</v>
      </c>
    </row>
    <row r="23" spans="1:36" s="39" customFormat="1" ht="12.75">
      <c r="A23" s="81">
        <f>0.7+35.4</f>
        <v>36.1</v>
      </c>
      <c r="B23" s="43" t="s">
        <v>96</v>
      </c>
      <c r="C23" s="43" t="s">
        <v>55</v>
      </c>
      <c r="D23" s="43">
        <v>3</v>
      </c>
      <c r="E23" s="40" t="s">
        <v>47</v>
      </c>
      <c r="F23" s="41">
        <v>70</v>
      </c>
      <c r="G23" s="42">
        <v>95</v>
      </c>
      <c r="H23" s="1"/>
      <c r="I23" s="30"/>
      <c r="J23" s="40"/>
      <c r="K23" s="45"/>
      <c r="L23" s="45"/>
      <c r="M23" s="45"/>
      <c r="N23" s="45"/>
      <c r="O23" s="46"/>
      <c r="P23" s="47"/>
      <c r="Q23" s="47"/>
      <c r="R23" s="47"/>
      <c r="S23" s="48"/>
      <c r="T23" s="48"/>
      <c r="U23" s="49"/>
      <c r="V23" s="48"/>
      <c r="W23" s="50"/>
      <c r="X23" s="51"/>
      <c r="Y23" s="52"/>
      <c r="Z23" s="53"/>
      <c r="AA23" s="40">
        <v>0</v>
      </c>
      <c r="AB23" s="43">
        <v>130</v>
      </c>
      <c r="AC23" s="54"/>
      <c r="AD23" s="55"/>
      <c r="AE23" s="49"/>
      <c r="AF23" s="48"/>
      <c r="AG23" s="48"/>
      <c r="AH23" s="56"/>
      <c r="AI23" s="53"/>
      <c r="AJ23" s="39" t="s">
        <v>99</v>
      </c>
    </row>
    <row r="24" spans="1:36" s="39" customFormat="1" ht="12.75">
      <c r="A24" s="81">
        <f>35.4+0.99</f>
        <v>36.39</v>
      </c>
      <c r="B24" s="43" t="s">
        <v>96</v>
      </c>
      <c r="C24" s="43" t="s">
        <v>55</v>
      </c>
      <c r="D24" s="43">
        <v>3</v>
      </c>
      <c r="E24" s="40" t="s">
        <v>46</v>
      </c>
      <c r="F24" s="41">
        <v>99</v>
      </c>
      <c r="G24" s="42">
        <v>103</v>
      </c>
      <c r="H24" s="1"/>
      <c r="I24" s="30"/>
      <c r="J24" s="40"/>
      <c r="K24" s="45"/>
      <c r="L24" s="45"/>
      <c r="M24" s="45"/>
      <c r="N24" s="45"/>
      <c r="O24" s="46"/>
      <c r="P24" s="47"/>
      <c r="Q24" s="47"/>
      <c r="R24" s="47"/>
      <c r="S24" s="48"/>
      <c r="T24" s="48"/>
      <c r="U24" s="49"/>
      <c r="V24" s="48"/>
      <c r="W24" s="50"/>
      <c r="X24" s="51"/>
      <c r="Y24" s="52"/>
      <c r="Z24" s="53"/>
      <c r="AA24" s="40">
        <v>0</v>
      </c>
      <c r="AB24" s="43">
        <v>130</v>
      </c>
      <c r="AC24" s="54"/>
      <c r="AD24" s="55"/>
      <c r="AE24" s="49"/>
      <c r="AF24" s="48"/>
      <c r="AG24" s="48"/>
      <c r="AH24" s="56"/>
      <c r="AI24" s="53"/>
      <c r="AJ24" s="39" t="s">
        <v>99</v>
      </c>
    </row>
    <row r="25" spans="1:36" s="39" customFormat="1" ht="12.75">
      <c r="A25" s="81">
        <f>35.4+1.03</f>
        <v>36.43</v>
      </c>
      <c r="B25" s="43" t="s">
        <v>96</v>
      </c>
      <c r="C25" s="43" t="s">
        <v>55</v>
      </c>
      <c r="D25" s="43">
        <v>3</v>
      </c>
      <c r="E25" s="40" t="s">
        <v>46</v>
      </c>
      <c r="F25" s="41">
        <v>103</v>
      </c>
      <c r="G25" s="42">
        <v>125</v>
      </c>
      <c r="H25" s="1"/>
      <c r="I25" s="30"/>
      <c r="J25" s="40"/>
      <c r="K25" s="45"/>
      <c r="L25" s="45"/>
      <c r="M25" s="45"/>
      <c r="N25" s="45"/>
      <c r="O25" s="46"/>
      <c r="P25" s="47"/>
      <c r="Q25" s="47"/>
      <c r="R25" s="47"/>
      <c r="S25" s="48"/>
      <c r="T25" s="48"/>
      <c r="U25" s="49"/>
      <c r="V25" s="48"/>
      <c r="W25" s="50"/>
      <c r="X25" s="51"/>
      <c r="Y25" s="52"/>
      <c r="Z25" s="53"/>
      <c r="AA25" s="40">
        <v>0</v>
      </c>
      <c r="AB25" s="43">
        <v>130</v>
      </c>
      <c r="AC25" s="54"/>
      <c r="AD25" s="55"/>
      <c r="AE25" s="49"/>
      <c r="AF25" s="48"/>
      <c r="AG25" s="48"/>
      <c r="AH25" s="56"/>
      <c r="AI25" s="53"/>
      <c r="AJ25" s="39" t="s">
        <v>99</v>
      </c>
    </row>
    <row r="26" spans="1:35" s="39" customFormat="1" ht="21">
      <c r="A26" s="81">
        <f>0.66+36.71</f>
        <v>37.37</v>
      </c>
      <c r="B26" s="43" t="s">
        <v>96</v>
      </c>
      <c r="C26" s="43" t="s">
        <v>55</v>
      </c>
      <c r="D26" s="43">
        <v>4</v>
      </c>
      <c r="E26" s="40" t="s">
        <v>46</v>
      </c>
      <c r="F26" s="41">
        <v>66</v>
      </c>
      <c r="G26" s="42">
        <v>66</v>
      </c>
      <c r="H26" s="1"/>
      <c r="I26" s="30"/>
      <c r="J26" s="40">
        <v>270</v>
      </c>
      <c r="K26" s="45">
        <v>2</v>
      </c>
      <c r="L26" s="45">
        <v>0</v>
      </c>
      <c r="M26" s="45">
        <v>1</v>
      </c>
      <c r="N26" s="45"/>
      <c r="O26" s="46"/>
      <c r="P26" s="47">
        <f t="shared" si="0"/>
        <v>-0.017441774902830158</v>
      </c>
      <c r="Q26" s="47">
        <f t="shared" si="1"/>
        <v>0.03489418134011367</v>
      </c>
      <c r="R26" s="47">
        <f t="shared" si="2"/>
        <v>0.9992386149554826</v>
      </c>
      <c r="S26" s="48">
        <f t="shared" si="3"/>
        <v>116.5580680165811</v>
      </c>
      <c r="T26" s="48">
        <f>ASIN(R26/SQRT(P26^2+Q26^2+R26^2))*180/PI()</f>
        <v>87.76429506217735</v>
      </c>
      <c r="U26" s="49">
        <f t="shared" si="4"/>
        <v>296.5580680165811</v>
      </c>
      <c r="V26" s="48">
        <f t="shared" si="5"/>
        <v>206.5580680165811</v>
      </c>
      <c r="W26" s="50">
        <f t="shared" si="6"/>
        <v>2.2357049378226463</v>
      </c>
      <c r="X26" s="51"/>
      <c r="Y26" s="52"/>
      <c r="Z26" s="53"/>
      <c r="AA26" s="40">
        <v>21</v>
      </c>
      <c r="AB26" s="43">
        <v>132</v>
      </c>
      <c r="AC26" s="54"/>
      <c r="AD26" s="55"/>
      <c r="AE26" s="49">
        <f>IF(AD26&gt;=0,IF(U26&gt;=AC26,U26-AC26,U26-AC26+360),IF((U26-AC26-180)&lt;0,IF(U26-AC26+180&lt;0,U26-AC26+540,U26-AC26+180),U26-AC26-180))</f>
        <v>296.5580680165811</v>
      </c>
      <c r="AF26" s="48">
        <f t="shared" si="7"/>
        <v>206.5580680165811</v>
      </c>
      <c r="AG26" s="48">
        <f>W26</f>
        <v>2.2357049378226463</v>
      </c>
      <c r="AH26" s="56"/>
      <c r="AI26" s="53"/>
    </row>
    <row r="27" spans="1:35" s="39" customFormat="1" ht="12.75">
      <c r="A27" s="81">
        <f>36.71+0.72</f>
        <v>37.43</v>
      </c>
      <c r="B27" s="43" t="s">
        <v>96</v>
      </c>
      <c r="C27" s="43" t="s">
        <v>55</v>
      </c>
      <c r="D27" s="43">
        <v>4</v>
      </c>
      <c r="E27" s="40" t="s">
        <v>47</v>
      </c>
      <c r="F27" s="41">
        <v>72</v>
      </c>
      <c r="G27" s="42">
        <v>130</v>
      </c>
      <c r="H27" s="1"/>
      <c r="I27" s="30"/>
      <c r="J27" s="40"/>
      <c r="K27" s="45"/>
      <c r="L27" s="45"/>
      <c r="M27" s="45"/>
      <c r="N27" s="45"/>
      <c r="O27" s="46"/>
      <c r="P27" s="47"/>
      <c r="Q27" s="47"/>
      <c r="R27" s="47"/>
      <c r="S27" s="48"/>
      <c r="T27" s="48"/>
      <c r="U27" s="49"/>
      <c r="V27" s="48"/>
      <c r="W27" s="50"/>
      <c r="X27" s="51"/>
      <c r="Y27" s="52"/>
      <c r="Z27" s="53"/>
      <c r="AA27" s="40">
        <v>21</v>
      </c>
      <c r="AB27" s="43">
        <v>132</v>
      </c>
      <c r="AC27" s="54"/>
      <c r="AD27" s="55"/>
      <c r="AE27" s="49"/>
      <c r="AF27" s="48"/>
      <c r="AG27" s="48"/>
      <c r="AH27" s="56"/>
      <c r="AI27" s="53"/>
    </row>
    <row r="28" spans="1:36" s="39" customFormat="1" ht="21">
      <c r="A28" s="81">
        <f>36.71</f>
        <v>36.71</v>
      </c>
      <c r="B28" s="43" t="s">
        <v>96</v>
      </c>
      <c r="C28" s="43" t="s">
        <v>55</v>
      </c>
      <c r="D28" s="43">
        <v>4</v>
      </c>
      <c r="E28" s="40" t="s">
        <v>102</v>
      </c>
      <c r="F28" s="41">
        <v>0</v>
      </c>
      <c r="G28" s="42">
        <v>22</v>
      </c>
      <c r="H28" s="1"/>
      <c r="I28" s="30"/>
      <c r="J28" s="40"/>
      <c r="K28" s="45"/>
      <c r="L28" s="45"/>
      <c r="M28" s="45"/>
      <c r="N28" s="45"/>
      <c r="O28" s="46"/>
      <c r="P28" s="47"/>
      <c r="Q28" s="47"/>
      <c r="R28" s="47"/>
      <c r="S28" s="48"/>
      <c r="T28" s="48"/>
      <c r="U28" s="49"/>
      <c r="V28" s="48"/>
      <c r="W28" s="50"/>
      <c r="X28" s="51"/>
      <c r="Y28" s="52"/>
      <c r="Z28" s="53"/>
      <c r="AA28" s="40">
        <v>0</v>
      </c>
      <c r="AB28" s="43">
        <v>132</v>
      </c>
      <c r="AC28" s="54"/>
      <c r="AD28" s="55"/>
      <c r="AE28" s="49"/>
      <c r="AF28" s="48"/>
      <c r="AG28" s="48"/>
      <c r="AH28" s="56"/>
      <c r="AI28" s="53"/>
      <c r="AJ28" s="39" t="s">
        <v>99</v>
      </c>
    </row>
    <row r="29" spans="1:36" s="39" customFormat="1" ht="12.75">
      <c r="A29" s="81">
        <f>0.16+36.71</f>
        <v>36.87</v>
      </c>
      <c r="B29" s="43" t="s">
        <v>96</v>
      </c>
      <c r="C29" s="43" t="s">
        <v>55</v>
      </c>
      <c r="D29" s="43">
        <v>4</v>
      </c>
      <c r="E29" s="40" t="s">
        <v>46</v>
      </c>
      <c r="F29" s="41">
        <v>16</v>
      </c>
      <c r="G29" s="42">
        <v>16</v>
      </c>
      <c r="H29" s="1"/>
      <c r="I29" s="30"/>
      <c r="J29" s="40"/>
      <c r="K29" s="45"/>
      <c r="L29" s="45"/>
      <c r="M29" s="45"/>
      <c r="N29" s="45"/>
      <c r="O29" s="46"/>
      <c r="P29" s="47"/>
      <c r="Q29" s="47"/>
      <c r="R29" s="47"/>
      <c r="S29" s="48"/>
      <c r="T29" s="48"/>
      <c r="U29" s="49"/>
      <c r="V29" s="48"/>
      <c r="W29" s="50"/>
      <c r="X29" s="51"/>
      <c r="Y29" s="52"/>
      <c r="Z29" s="53"/>
      <c r="AA29" s="40">
        <v>0</v>
      </c>
      <c r="AB29" s="43">
        <v>132</v>
      </c>
      <c r="AC29" s="54"/>
      <c r="AD29" s="55"/>
      <c r="AE29" s="49"/>
      <c r="AF29" s="48"/>
      <c r="AG29" s="48"/>
      <c r="AH29" s="56"/>
      <c r="AI29" s="53"/>
      <c r="AJ29" s="39" t="s">
        <v>99</v>
      </c>
    </row>
    <row r="30" spans="1:36" s="39" customFormat="1" ht="21">
      <c r="A30" s="81">
        <f>36.71+0.65</f>
        <v>37.36</v>
      </c>
      <c r="B30" s="43" t="s">
        <v>96</v>
      </c>
      <c r="C30" s="43" t="s">
        <v>55</v>
      </c>
      <c r="D30" s="43">
        <v>4</v>
      </c>
      <c r="E30" s="40" t="s">
        <v>47</v>
      </c>
      <c r="F30" s="41">
        <v>65</v>
      </c>
      <c r="G30" s="42">
        <v>81</v>
      </c>
      <c r="H30" s="1"/>
      <c r="I30" s="30"/>
      <c r="J30" s="40"/>
      <c r="K30" s="45"/>
      <c r="L30" s="45"/>
      <c r="M30" s="45"/>
      <c r="N30" s="45"/>
      <c r="O30" s="46"/>
      <c r="P30" s="47"/>
      <c r="Q30" s="47"/>
      <c r="R30" s="47"/>
      <c r="S30" s="48"/>
      <c r="T30" s="48"/>
      <c r="U30" s="49"/>
      <c r="V30" s="48"/>
      <c r="W30" s="50"/>
      <c r="X30" s="51"/>
      <c r="Y30" s="52"/>
      <c r="Z30" s="53"/>
      <c r="AA30" s="40">
        <v>0</v>
      </c>
      <c r="AB30" s="43">
        <v>132</v>
      </c>
      <c r="AC30" s="54"/>
      <c r="AD30" s="55"/>
      <c r="AE30" s="49"/>
      <c r="AF30" s="48"/>
      <c r="AG30" s="48"/>
      <c r="AH30" s="56"/>
      <c r="AI30" s="53"/>
      <c r="AJ30" s="39" t="s">
        <v>99</v>
      </c>
    </row>
    <row r="31" spans="1:36" s="39" customFormat="1" ht="12.75">
      <c r="A31" s="81">
        <f>36.71+0.83</f>
        <v>37.54</v>
      </c>
      <c r="B31" s="43" t="s">
        <v>96</v>
      </c>
      <c r="C31" s="43" t="s">
        <v>55</v>
      </c>
      <c r="D31" s="43">
        <v>4</v>
      </c>
      <c r="E31" s="40" t="s">
        <v>102</v>
      </c>
      <c r="F31" s="41">
        <v>83</v>
      </c>
      <c r="G31" s="42">
        <v>102</v>
      </c>
      <c r="H31" s="1"/>
      <c r="I31" s="30"/>
      <c r="J31" s="40"/>
      <c r="K31" s="45"/>
      <c r="L31" s="45"/>
      <c r="M31" s="45"/>
      <c r="N31" s="45"/>
      <c r="O31" s="46"/>
      <c r="P31" s="47"/>
      <c r="Q31" s="47"/>
      <c r="R31" s="47"/>
      <c r="S31" s="48"/>
      <c r="T31" s="48"/>
      <c r="U31" s="49"/>
      <c r="V31" s="48"/>
      <c r="W31" s="50"/>
      <c r="X31" s="51"/>
      <c r="Y31" s="52"/>
      <c r="Z31" s="53"/>
      <c r="AA31" s="40">
        <v>0</v>
      </c>
      <c r="AB31" s="43">
        <v>132</v>
      </c>
      <c r="AC31" s="54"/>
      <c r="AD31" s="55"/>
      <c r="AE31" s="49"/>
      <c r="AF31" s="48"/>
      <c r="AG31" s="48"/>
      <c r="AH31" s="56"/>
      <c r="AI31" s="53"/>
      <c r="AJ31" s="39" t="s">
        <v>99</v>
      </c>
    </row>
    <row r="32" spans="1:36" s="39" customFormat="1" ht="12.75">
      <c r="A32" s="81">
        <f>36.71+0.83</f>
        <v>37.54</v>
      </c>
      <c r="B32" s="43" t="s">
        <v>96</v>
      </c>
      <c r="C32" s="43" t="s">
        <v>55</v>
      </c>
      <c r="D32" s="43">
        <v>4</v>
      </c>
      <c r="E32" s="40" t="s">
        <v>102</v>
      </c>
      <c r="F32" s="41">
        <v>83</v>
      </c>
      <c r="G32" s="42">
        <v>102</v>
      </c>
      <c r="H32" s="1"/>
      <c r="I32" s="30"/>
      <c r="J32" s="40"/>
      <c r="K32" s="45"/>
      <c r="L32" s="45"/>
      <c r="M32" s="45"/>
      <c r="N32" s="45"/>
      <c r="O32" s="46"/>
      <c r="P32" s="47"/>
      <c r="Q32" s="47"/>
      <c r="R32" s="47"/>
      <c r="S32" s="48"/>
      <c r="T32" s="48"/>
      <c r="U32" s="49"/>
      <c r="V32" s="48"/>
      <c r="W32" s="50"/>
      <c r="X32" s="51"/>
      <c r="Y32" s="52"/>
      <c r="Z32" s="53"/>
      <c r="AA32" s="40">
        <v>0</v>
      </c>
      <c r="AB32" s="43">
        <v>132</v>
      </c>
      <c r="AC32" s="54"/>
      <c r="AD32" s="55"/>
      <c r="AE32" s="49"/>
      <c r="AF32" s="48"/>
      <c r="AG32" s="48"/>
      <c r="AH32" s="56"/>
      <c r="AI32" s="53"/>
      <c r="AJ32" s="39" t="s">
        <v>99</v>
      </c>
    </row>
    <row r="33" spans="1:35" s="39" customFormat="1" ht="12.75">
      <c r="A33" s="81">
        <f>0.18+38.245</f>
        <v>38.425</v>
      </c>
      <c r="B33" s="43" t="s">
        <v>96</v>
      </c>
      <c r="C33" s="43" t="s">
        <v>55</v>
      </c>
      <c r="D33" s="43">
        <v>6</v>
      </c>
      <c r="E33" s="40" t="s">
        <v>46</v>
      </c>
      <c r="F33" s="41">
        <v>18</v>
      </c>
      <c r="G33" s="42">
        <v>19</v>
      </c>
      <c r="H33" s="1"/>
      <c r="I33" s="30"/>
      <c r="J33" s="40">
        <v>270</v>
      </c>
      <c r="K33" s="45">
        <v>4</v>
      </c>
      <c r="L33" s="45">
        <v>0</v>
      </c>
      <c r="M33" s="45">
        <v>6</v>
      </c>
      <c r="N33" s="45"/>
      <c r="O33" s="46"/>
      <c r="P33" s="47">
        <f t="shared" si="0"/>
        <v>-0.10427383718471564</v>
      </c>
      <c r="Q33" s="47">
        <f t="shared" si="1"/>
        <v>0.0693743404822147</v>
      </c>
      <c r="R33" s="47">
        <f t="shared" si="2"/>
        <v>0.9920992900156518</v>
      </c>
      <c r="S33" s="48">
        <f t="shared" si="3"/>
        <v>146.36381294147463</v>
      </c>
      <c r="T33" s="48">
        <f>ASIN(R33/SQRT(P33^2+Q33^2+R33^2))*180/PI()</f>
        <v>82.80501343661278</v>
      </c>
      <c r="U33" s="49">
        <f t="shared" si="4"/>
        <v>326.36381294147463</v>
      </c>
      <c r="V33" s="48">
        <f t="shared" si="5"/>
        <v>236.36381294147463</v>
      </c>
      <c r="W33" s="50">
        <f t="shared" si="6"/>
        <v>7.194986563387218</v>
      </c>
      <c r="X33" s="51"/>
      <c r="Y33" s="52"/>
      <c r="Z33" s="53"/>
      <c r="AA33" s="40">
        <v>0</v>
      </c>
      <c r="AB33" s="43">
        <v>105</v>
      </c>
      <c r="AC33" s="54"/>
      <c r="AD33" s="55"/>
      <c r="AE33" s="49">
        <f>IF(AD33&gt;=0,IF(U33&gt;=AC33,U33-AC33,U33-AC33+360),IF((U33-AC33-180)&lt;0,IF(U33-AC33+180&lt;0,U33-AC33+540,U33-AC33+180),U33-AC33-180))</f>
        <v>326.36381294147463</v>
      </c>
      <c r="AF33" s="48">
        <f t="shared" si="7"/>
        <v>236.36381294147463</v>
      </c>
      <c r="AG33" s="48">
        <f>W33</f>
        <v>7.194986563387218</v>
      </c>
      <c r="AH33" s="56"/>
      <c r="AI33" s="53"/>
    </row>
    <row r="34" spans="1:36" s="39" customFormat="1" ht="21">
      <c r="A34" s="81">
        <f>38.245+0.27</f>
        <v>38.515</v>
      </c>
      <c r="B34" s="43" t="s">
        <v>96</v>
      </c>
      <c r="C34" s="43" t="s">
        <v>55</v>
      </c>
      <c r="D34" s="43">
        <v>6</v>
      </c>
      <c r="E34" s="40" t="s">
        <v>46</v>
      </c>
      <c r="F34" s="41">
        <v>27</v>
      </c>
      <c r="G34" s="42">
        <v>27</v>
      </c>
      <c r="H34" s="1"/>
      <c r="I34" s="30"/>
      <c r="J34" s="40"/>
      <c r="K34" s="45"/>
      <c r="L34" s="45"/>
      <c r="M34" s="45"/>
      <c r="N34" s="45"/>
      <c r="O34" s="46"/>
      <c r="P34" s="47"/>
      <c r="Q34" s="47"/>
      <c r="R34" s="47"/>
      <c r="S34" s="48"/>
      <c r="T34" s="48"/>
      <c r="U34" s="49"/>
      <c r="V34" s="48"/>
      <c r="W34" s="50"/>
      <c r="X34" s="51"/>
      <c r="Y34" s="52"/>
      <c r="Z34" s="53"/>
      <c r="AA34" s="40">
        <v>0</v>
      </c>
      <c r="AB34" s="43">
        <v>105</v>
      </c>
      <c r="AC34" s="54"/>
      <c r="AD34" s="55"/>
      <c r="AE34" s="49"/>
      <c r="AF34" s="48"/>
      <c r="AG34" s="48"/>
      <c r="AH34" s="56"/>
      <c r="AI34" s="53"/>
      <c r="AJ34" s="39" t="s">
        <v>99</v>
      </c>
    </row>
    <row r="35" spans="1:36" s="39" customFormat="1" ht="12.75">
      <c r="A35" s="81">
        <f>38.245</f>
        <v>38.245</v>
      </c>
      <c r="B35" s="43" t="s">
        <v>96</v>
      </c>
      <c r="C35" s="43" t="s">
        <v>55</v>
      </c>
      <c r="D35" s="43">
        <v>6</v>
      </c>
      <c r="E35" s="40" t="s">
        <v>102</v>
      </c>
      <c r="F35" s="41">
        <v>13.5</v>
      </c>
      <c r="G35" s="42">
        <v>13.5</v>
      </c>
      <c r="H35" s="1"/>
      <c r="I35" s="30"/>
      <c r="J35" s="40"/>
      <c r="K35" s="45"/>
      <c r="L35" s="45"/>
      <c r="M35" s="45"/>
      <c r="N35" s="45"/>
      <c r="O35" s="46"/>
      <c r="P35" s="47"/>
      <c r="Q35" s="47"/>
      <c r="R35" s="47"/>
      <c r="S35" s="48"/>
      <c r="T35" s="48"/>
      <c r="U35" s="49"/>
      <c r="V35" s="48"/>
      <c r="W35" s="50"/>
      <c r="X35" s="51"/>
      <c r="Y35" s="52"/>
      <c r="Z35" s="53"/>
      <c r="AA35" s="40">
        <v>0</v>
      </c>
      <c r="AB35" s="43">
        <v>105</v>
      </c>
      <c r="AC35" s="54"/>
      <c r="AD35" s="55"/>
      <c r="AE35" s="49"/>
      <c r="AF35" s="48"/>
      <c r="AG35" s="48"/>
      <c r="AH35" s="56"/>
      <c r="AI35" s="53"/>
      <c r="AJ35" s="39" t="s">
        <v>99</v>
      </c>
    </row>
    <row r="36" spans="1:36" s="39" customFormat="1" ht="12.75">
      <c r="A36" s="81">
        <f>38.245+0.74</f>
        <v>38.985</v>
      </c>
      <c r="B36" s="43" t="s">
        <v>96</v>
      </c>
      <c r="C36" s="43" t="s">
        <v>55</v>
      </c>
      <c r="D36" s="43">
        <v>6</v>
      </c>
      <c r="E36" s="40" t="s">
        <v>102</v>
      </c>
      <c r="F36" s="41">
        <v>74</v>
      </c>
      <c r="G36" s="42">
        <v>74</v>
      </c>
      <c r="H36" s="1"/>
      <c r="I36" s="30"/>
      <c r="J36" s="40"/>
      <c r="K36" s="45"/>
      <c r="L36" s="45"/>
      <c r="M36" s="45"/>
      <c r="N36" s="45"/>
      <c r="O36" s="46"/>
      <c r="P36" s="47"/>
      <c r="Q36" s="47"/>
      <c r="R36" s="47"/>
      <c r="S36" s="48"/>
      <c r="T36" s="48"/>
      <c r="U36" s="49"/>
      <c r="V36" s="48"/>
      <c r="W36" s="50"/>
      <c r="X36" s="51"/>
      <c r="Y36" s="52"/>
      <c r="Z36" s="53"/>
      <c r="AA36" s="40">
        <v>0</v>
      </c>
      <c r="AB36" s="43">
        <v>105</v>
      </c>
      <c r="AC36" s="54"/>
      <c r="AD36" s="55"/>
      <c r="AE36" s="49"/>
      <c r="AF36" s="48"/>
      <c r="AG36" s="48"/>
      <c r="AH36" s="56"/>
      <c r="AI36" s="53"/>
      <c r="AJ36" s="39" t="s">
        <v>99</v>
      </c>
    </row>
    <row r="37" spans="1:36" s="39" customFormat="1" ht="21">
      <c r="A37" s="81">
        <f>38.245+0.81</f>
        <v>39.055</v>
      </c>
      <c r="B37" s="43" t="s">
        <v>96</v>
      </c>
      <c r="C37" s="43" t="s">
        <v>55</v>
      </c>
      <c r="D37" s="43">
        <v>6</v>
      </c>
      <c r="E37" s="40" t="s">
        <v>47</v>
      </c>
      <c r="F37" s="41">
        <v>81</v>
      </c>
      <c r="G37" s="42">
        <v>85</v>
      </c>
      <c r="H37" s="1"/>
      <c r="I37" s="30"/>
      <c r="J37" s="40"/>
      <c r="K37" s="45"/>
      <c r="L37" s="45"/>
      <c r="M37" s="45"/>
      <c r="N37" s="45"/>
      <c r="O37" s="46"/>
      <c r="P37" s="47"/>
      <c r="Q37" s="47"/>
      <c r="R37" s="47"/>
      <c r="S37" s="48"/>
      <c r="T37" s="48"/>
      <c r="U37" s="49"/>
      <c r="V37" s="48"/>
      <c r="W37" s="50"/>
      <c r="X37" s="51"/>
      <c r="Y37" s="52"/>
      <c r="Z37" s="53"/>
      <c r="AA37" s="40">
        <v>0</v>
      </c>
      <c r="AB37" s="43">
        <v>105</v>
      </c>
      <c r="AC37" s="54"/>
      <c r="AD37" s="55"/>
      <c r="AE37" s="49"/>
      <c r="AF37" s="48"/>
      <c r="AG37" s="48"/>
      <c r="AH37" s="56"/>
      <c r="AI37" s="53"/>
      <c r="AJ37" s="39" t="s">
        <v>99</v>
      </c>
    </row>
    <row r="38" spans="1:35" s="39" customFormat="1" ht="21">
      <c r="A38" s="81">
        <f>39.295+0.08</f>
        <v>39.375</v>
      </c>
      <c r="B38" s="43" t="s">
        <v>96</v>
      </c>
      <c r="C38" s="43" t="s">
        <v>55</v>
      </c>
      <c r="D38" s="43">
        <v>7</v>
      </c>
      <c r="E38" s="40" t="s">
        <v>46</v>
      </c>
      <c r="F38" s="41">
        <v>8</v>
      </c>
      <c r="G38" s="42">
        <v>8</v>
      </c>
      <c r="H38" s="1"/>
      <c r="I38" s="30"/>
      <c r="J38" s="40">
        <v>270</v>
      </c>
      <c r="K38" s="45">
        <v>2</v>
      </c>
      <c r="L38" s="45">
        <v>180</v>
      </c>
      <c r="M38" s="45">
        <v>8</v>
      </c>
      <c r="N38" s="45"/>
      <c r="O38" s="46"/>
      <c r="P38" s="47">
        <f t="shared" si="0"/>
        <v>-0.13908832046729191</v>
      </c>
      <c r="Q38" s="47">
        <f t="shared" si="1"/>
        <v>-0.03455985719963841</v>
      </c>
      <c r="R38" s="47">
        <f t="shared" si="2"/>
        <v>-0.9896648241902408</v>
      </c>
      <c r="S38" s="48">
        <f t="shared" si="3"/>
        <v>193.9539337793987</v>
      </c>
      <c r="T38" s="48">
        <f>ASIN(R38/SQRT(P38^2+Q38^2+R38^2))*180/PI()</f>
        <v>-81.76003283137152</v>
      </c>
      <c r="U38" s="49">
        <f t="shared" si="4"/>
        <v>193.9539337793987</v>
      </c>
      <c r="V38" s="48">
        <f t="shared" si="5"/>
        <v>103.95393377939871</v>
      </c>
      <c r="W38" s="50">
        <f t="shared" si="6"/>
        <v>8.239967168628482</v>
      </c>
      <c r="X38" s="51"/>
      <c r="Y38" s="52"/>
      <c r="Z38" s="53"/>
      <c r="AA38" s="40">
        <v>0</v>
      </c>
      <c r="AB38" s="43">
        <v>130</v>
      </c>
      <c r="AC38" s="54"/>
      <c r="AD38" s="55"/>
      <c r="AE38" s="49">
        <f aca="true" t="shared" si="8" ref="AE37:AE100">IF(AD38&gt;=0,IF(U38&gt;=AC38,U38-AC38,U38-AC38+360),IF((U38-AC38-180)&lt;0,IF(U38-AC38+180&lt;0,U38-AC38+540,U38-AC38+180),U38-AC38-180))</f>
        <v>193.9539337793987</v>
      </c>
      <c r="AF38" s="48">
        <f aca="true" t="shared" si="9" ref="AF36:AF99">IF(AE38-90&lt;0,AE38+270,AE38-90)</f>
        <v>103.95393377939871</v>
      </c>
      <c r="AG38" s="48">
        <f aca="true" t="shared" si="10" ref="AG37:AG100">W38</f>
        <v>8.239967168628482</v>
      </c>
      <c r="AH38" s="56"/>
      <c r="AI38" s="53"/>
    </row>
    <row r="39" spans="1:36" s="39" customFormat="1" ht="21">
      <c r="A39" s="81">
        <f>39.295+0.33</f>
        <v>39.625</v>
      </c>
      <c r="B39" s="43" t="s">
        <v>96</v>
      </c>
      <c r="C39" s="43" t="s">
        <v>55</v>
      </c>
      <c r="D39" s="43">
        <v>7</v>
      </c>
      <c r="E39" s="40" t="s">
        <v>47</v>
      </c>
      <c r="F39" s="41">
        <v>33</v>
      </c>
      <c r="G39" s="42">
        <v>45</v>
      </c>
      <c r="H39" s="1"/>
      <c r="I39" s="30"/>
      <c r="J39" s="40">
        <v>270</v>
      </c>
      <c r="K39" s="45">
        <v>55</v>
      </c>
      <c r="L39" s="45">
        <v>180</v>
      </c>
      <c r="M39" s="45">
        <v>2</v>
      </c>
      <c r="N39" s="45"/>
      <c r="O39" s="46"/>
      <c r="P39" s="47">
        <f t="shared" si="0"/>
        <v>-0.020017528949065694</v>
      </c>
      <c r="Q39" s="47">
        <f t="shared" si="1"/>
        <v>-0.8186530389963583</v>
      </c>
      <c r="R39" s="47">
        <f t="shared" si="2"/>
        <v>-0.5732270290835377</v>
      </c>
      <c r="S39" s="48">
        <f t="shared" si="3"/>
        <v>268.59929496972904</v>
      </c>
      <c r="T39" s="48">
        <f>ASIN(R39/SQRT(P39^2+Q39^2+R39^2))*180/PI()</f>
        <v>-34.99195515589982</v>
      </c>
      <c r="U39" s="49">
        <f t="shared" si="4"/>
        <v>268.59929496972904</v>
      </c>
      <c r="V39" s="48">
        <f t="shared" si="5"/>
        <v>178.59929496972904</v>
      </c>
      <c r="W39" s="50">
        <f t="shared" si="6"/>
        <v>55.00804484410018</v>
      </c>
      <c r="X39" s="51"/>
      <c r="Y39" s="52"/>
      <c r="Z39" s="53" t="s">
        <v>48</v>
      </c>
      <c r="AA39" s="40">
        <v>0</v>
      </c>
      <c r="AB39" s="43">
        <v>130</v>
      </c>
      <c r="AC39" s="54"/>
      <c r="AD39" s="55"/>
      <c r="AE39" s="49">
        <f t="shared" si="8"/>
        <v>268.59929496972904</v>
      </c>
      <c r="AF39" s="48">
        <f t="shared" si="9"/>
        <v>178.59929496972904</v>
      </c>
      <c r="AG39" s="48">
        <f t="shared" si="10"/>
        <v>55.00804484410018</v>
      </c>
      <c r="AH39" s="56"/>
      <c r="AI39" s="53" t="str">
        <f>Z39</f>
        <v>N</v>
      </c>
      <c r="AJ39" s="39" t="s">
        <v>104</v>
      </c>
    </row>
    <row r="40" spans="1:36" s="39" customFormat="1" ht="12.75">
      <c r="A40" s="81">
        <f>39.295+0.36</f>
        <v>39.655</v>
      </c>
      <c r="B40" s="43" t="s">
        <v>96</v>
      </c>
      <c r="C40" s="43" t="s">
        <v>55</v>
      </c>
      <c r="D40" s="43">
        <v>7</v>
      </c>
      <c r="E40" s="40" t="s">
        <v>47</v>
      </c>
      <c r="F40" s="41">
        <v>36</v>
      </c>
      <c r="G40" s="42">
        <v>52</v>
      </c>
      <c r="H40" s="1"/>
      <c r="I40" s="30"/>
      <c r="J40" s="40">
        <v>270</v>
      </c>
      <c r="K40" s="45">
        <v>69</v>
      </c>
      <c r="L40" s="45">
        <v>185</v>
      </c>
      <c r="M40" s="45">
        <v>0</v>
      </c>
      <c r="N40" s="45"/>
      <c r="O40" s="46"/>
      <c r="P40" s="47">
        <f t="shared" si="0"/>
        <v>0.0813668954860389</v>
      </c>
      <c r="Q40" s="47">
        <f t="shared" si="1"/>
        <v>-0.930027871118743</v>
      </c>
      <c r="R40" s="47">
        <f t="shared" si="2"/>
        <v>-0.3570042513030384</v>
      </c>
      <c r="S40" s="48">
        <f t="shared" si="3"/>
        <v>275</v>
      </c>
      <c r="T40" s="48">
        <f>ASIN(R40/SQRT(P40^2+Q40^2+R40^2))*180/PI()</f>
        <v>-20.927019856995077</v>
      </c>
      <c r="U40" s="49">
        <f t="shared" si="4"/>
        <v>275</v>
      </c>
      <c r="V40" s="48">
        <f t="shared" si="5"/>
        <v>185</v>
      </c>
      <c r="W40" s="50">
        <f t="shared" si="6"/>
        <v>69.07298014300493</v>
      </c>
      <c r="X40" s="51"/>
      <c r="Y40" s="52"/>
      <c r="Z40" s="53" t="s">
        <v>48</v>
      </c>
      <c r="AA40" s="40">
        <v>0</v>
      </c>
      <c r="AB40" s="43">
        <v>130</v>
      </c>
      <c r="AC40" s="54"/>
      <c r="AD40" s="55"/>
      <c r="AE40" s="49">
        <f t="shared" si="8"/>
        <v>275</v>
      </c>
      <c r="AF40" s="48">
        <f t="shared" si="9"/>
        <v>185</v>
      </c>
      <c r="AG40" s="48">
        <f t="shared" si="10"/>
        <v>69.07298014300493</v>
      </c>
      <c r="AH40" s="56"/>
      <c r="AI40" s="53" t="str">
        <f>Z40</f>
        <v>N</v>
      </c>
      <c r="AJ40" s="39" t="s">
        <v>104</v>
      </c>
    </row>
    <row r="41" spans="1:36" s="39" customFormat="1" ht="12.75">
      <c r="A41" s="81">
        <f>39.295+0.48</f>
        <v>39.775</v>
      </c>
      <c r="B41" s="43" t="s">
        <v>96</v>
      </c>
      <c r="C41" s="43" t="s">
        <v>55</v>
      </c>
      <c r="D41" s="43">
        <v>7</v>
      </c>
      <c r="E41" s="40" t="s">
        <v>47</v>
      </c>
      <c r="F41" s="41">
        <v>48</v>
      </c>
      <c r="G41" s="42">
        <v>58</v>
      </c>
      <c r="H41" s="1"/>
      <c r="I41" s="30"/>
      <c r="J41" s="40">
        <v>270</v>
      </c>
      <c r="K41" s="45">
        <v>61</v>
      </c>
      <c r="L41" s="45">
        <v>190</v>
      </c>
      <c r="M41" s="45">
        <v>0</v>
      </c>
      <c r="N41" s="45"/>
      <c r="O41" s="46"/>
      <c r="P41" s="47">
        <f t="shared" si="0"/>
        <v>0.15187611829634048</v>
      </c>
      <c r="Q41" s="47">
        <f t="shared" si="1"/>
        <v>-0.8613322685281437</v>
      </c>
      <c r="R41" s="47">
        <f t="shared" si="2"/>
        <v>-0.47744427275349716</v>
      </c>
      <c r="S41" s="48">
        <f t="shared" si="3"/>
        <v>280</v>
      </c>
      <c r="T41" s="48">
        <f>ASIN(R41/SQRT(P41^2+Q41^2+R41^2))*180/PI()</f>
        <v>-28.629590060050347</v>
      </c>
      <c r="U41" s="49">
        <f t="shared" si="4"/>
        <v>280</v>
      </c>
      <c r="V41" s="48">
        <f t="shared" si="5"/>
        <v>190</v>
      </c>
      <c r="W41" s="50">
        <f t="shared" si="6"/>
        <v>61.37040993994965</v>
      </c>
      <c r="X41" s="51"/>
      <c r="Y41" s="52"/>
      <c r="Z41" s="53" t="s">
        <v>48</v>
      </c>
      <c r="AA41" s="40">
        <v>0</v>
      </c>
      <c r="AB41" s="43">
        <v>130</v>
      </c>
      <c r="AC41" s="54"/>
      <c r="AD41" s="55"/>
      <c r="AE41" s="49">
        <f t="shared" si="8"/>
        <v>280</v>
      </c>
      <c r="AF41" s="48">
        <f t="shared" si="9"/>
        <v>190</v>
      </c>
      <c r="AG41" s="48">
        <f t="shared" si="10"/>
        <v>61.37040993994965</v>
      </c>
      <c r="AH41" s="56"/>
      <c r="AI41" s="53" t="str">
        <f>Z41</f>
        <v>N</v>
      </c>
      <c r="AJ41" s="39" t="s">
        <v>104</v>
      </c>
    </row>
    <row r="42" spans="1:36" s="39" customFormat="1" ht="12.75">
      <c r="A42" s="81">
        <f>39.295+0.49</f>
        <v>39.785000000000004</v>
      </c>
      <c r="B42" s="43" t="s">
        <v>96</v>
      </c>
      <c r="C42" s="43" t="s">
        <v>55</v>
      </c>
      <c r="D42" s="43">
        <v>7</v>
      </c>
      <c r="E42" s="40" t="s">
        <v>47</v>
      </c>
      <c r="F42" s="41">
        <v>49</v>
      </c>
      <c r="G42" s="42">
        <v>59</v>
      </c>
      <c r="H42" s="1"/>
      <c r="I42" s="30"/>
      <c r="J42" s="40">
        <v>270</v>
      </c>
      <c r="K42" s="45">
        <v>55</v>
      </c>
      <c r="L42" s="45">
        <v>190</v>
      </c>
      <c r="M42" s="45">
        <v>0</v>
      </c>
      <c r="N42" s="45"/>
      <c r="O42" s="46"/>
      <c r="P42" s="47">
        <f t="shared" si="0"/>
        <v>0.14224425972292412</v>
      </c>
      <c r="Q42" s="47">
        <f t="shared" si="1"/>
        <v>-0.8067072841115986</v>
      </c>
      <c r="R42" s="47">
        <f t="shared" si="2"/>
        <v>-0.5648625214636235</v>
      </c>
      <c r="S42" s="48">
        <f t="shared" si="3"/>
        <v>280</v>
      </c>
      <c r="T42" s="48">
        <f>ASIN(R42/SQRT(P42^2+Q42^2+R42^2))*180/PI()</f>
        <v>-34.588974180657914</v>
      </c>
      <c r="U42" s="49">
        <f t="shared" si="4"/>
        <v>280</v>
      </c>
      <c r="V42" s="48">
        <f t="shared" si="5"/>
        <v>190</v>
      </c>
      <c r="W42" s="50">
        <f t="shared" si="6"/>
        <v>55.411025819342086</v>
      </c>
      <c r="X42" s="51"/>
      <c r="Y42" s="52"/>
      <c r="Z42" s="53" t="s">
        <v>48</v>
      </c>
      <c r="AA42" s="40">
        <v>0</v>
      </c>
      <c r="AB42" s="43">
        <v>130</v>
      </c>
      <c r="AC42" s="54"/>
      <c r="AD42" s="55"/>
      <c r="AE42" s="49">
        <f t="shared" si="8"/>
        <v>280</v>
      </c>
      <c r="AF42" s="48">
        <f t="shared" si="9"/>
        <v>190</v>
      </c>
      <c r="AG42" s="48">
        <f t="shared" si="10"/>
        <v>55.411025819342086</v>
      </c>
      <c r="AH42" s="56"/>
      <c r="AI42" s="53" t="str">
        <f>Z42</f>
        <v>N</v>
      </c>
      <c r="AJ42" s="39" t="s">
        <v>104</v>
      </c>
    </row>
    <row r="43" spans="1:36" s="39" customFormat="1" ht="12.75">
      <c r="A43" s="81">
        <f>39.295+0.53</f>
        <v>39.825</v>
      </c>
      <c r="B43" s="43" t="s">
        <v>96</v>
      </c>
      <c r="C43" s="43" t="s">
        <v>55</v>
      </c>
      <c r="D43" s="43">
        <v>7</v>
      </c>
      <c r="E43" s="40" t="s">
        <v>47</v>
      </c>
      <c r="F43" s="41">
        <v>53</v>
      </c>
      <c r="G43" s="42">
        <v>65</v>
      </c>
      <c r="H43" s="1"/>
      <c r="I43" s="30"/>
      <c r="J43" s="40">
        <v>270</v>
      </c>
      <c r="K43" s="45">
        <v>64</v>
      </c>
      <c r="L43" s="45">
        <v>180</v>
      </c>
      <c r="M43" s="45">
        <v>2</v>
      </c>
      <c r="N43" s="45"/>
      <c r="O43" s="46"/>
      <c r="P43" s="47">
        <f t="shared" si="0"/>
        <v>-0.015298932391837085</v>
      </c>
      <c r="Q43" s="47">
        <f t="shared" si="1"/>
        <v>-0.898246525250764</v>
      </c>
      <c r="R43" s="47">
        <f t="shared" si="2"/>
        <v>-0.4381041029308455</v>
      </c>
      <c r="S43" s="48">
        <f t="shared" si="3"/>
        <v>269.0242327838856</v>
      </c>
      <c r="T43" s="48">
        <f>ASIN(R43/SQRT(P43^2+Q43^2+R43^2))*180/PI()</f>
        <v>-25.99672626462661</v>
      </c>
      <c r="U43" s="49">
        <f t="shared" si="4"/>
        <v>269.0242327838856</v>
      </c>
      <c r="V43" s="48">
        <f t="shared" si="5"/>
        <v>179.02423278388562</v>
      </c>
      <c r="W43" s="50">
        <f t="shared" si="6"/>
        <v>64.0032737353734</v>
      </c>
      <c r="X43" s="51"/>
      <c r="Y43" s="52"/>
      <c r="Z43" s="53" t="s">
        <v>48</v>
      </c>
      <c r="AA43" s="40">
        <v>0</v>
      </c>
      <c r="AB43" s="43">
        <v>130</v>
      </c>
      <c r="AC43" s="54"/>
      <c r="AD43" s="55"/>
      <c r="AE43" s="49">
        <f t="shared" si="8"/>
        <v>269.0242327838856</v>
      </c>
      <c r="AF43" s="48">
        <f t="shared" si="9"/>
        <v>179.02423278388562</v>
      </c>
      <c r="AG43" s="48">
        <f t="shared" si="10"/>
        <v>64.0032737353734</v>
      </c>
      <c r="AH43" s="56"/>
      <c r="AI43" s="53" t="str">
        <f>Z43</f>
        <v>N</v>
      </c>
      <c r="AJ43" s="39" t="s">
        <v>104</v>
      </c>
    </row>
    <row r="44" spans="1:35" s="39" customFormat="1" ht="21">
      <c r="A44" s="81">
        <f>0.92+40.6</f>
        <v>41.52</v>
      </c>
      <c r="B44" s="43" t="s">
        <v>96</v>
      </c>
      <c r="C44" s="43" t="s">
        <v>55</v>
      </c>
      <c r="D44" s="43">
        <v>8</v>
      </c>
      <c r="E44" s="40" t="s">
        <v>46</v>
      </c>
      <c r="F44" s="41">
        <v>92</v>
      </c>
      <c r="G44" s="42">
        <v>94</v>
      </c>
      <c r="H44" s="1"/>
      <c r="I44" s="30"/>
      <c r="J44" s="40">
        <v>270</v>
      </c>
      <c r="K44" s="45">
        <v>24</v>
      </c>
      <c r="L44" s="45">
        <v>180</v>
      </c>
      <c r="M44" s="45">
        <v>5</v>
      </c>
      <c r="N44" s="45"/>
      <c r="O44" s="46"/>
      <c r="P44" s="47">
        <f t="shared" si="0"/>
        <v>-0.07962073289459022</v>
      </c>
      <c r="Q44" s="47">
        <f t="shared" si="1"/>
        <v>-0.4051888873517468</v>
      </c>
      <c r="R44" s="47">
        <f t="shared" si="2"/>
        <v>-0.9100691413693562</v>
      </c>
      <c r="S44" s="48">
        <f t="shared" si="3"/>
        <v>258.8828669897502</v>
      </c>
      <c r="T44" s="48">
        <f>ASIN(R44/SQRT(P44^2+Q44^2+R44^2))*180/PI()</f>
        <v>-65.59415392943757</v>
      </c>
      <c r="U44" s="49">
        <f t="shared" si="4"/>
        <v>258.8828669897502</v>
      </c>
      <c r="V44" s="48">
        <f t="shared" si="5"/>
        <v>168.8828669897502</v>
      </c>
      <c r="W44" s="50">
        <f t="shared" si="6"/>
        <v>24.405846070562433</v>
      </c>
      <c r="X44" s="51"/>
      <c r="Y44" s="52"/>
      <c r="Z44" s="53"/>
      <c r="AA44" s="40">
        <v>0</v>
      </c>
      <c r="AB44" s="43">
        <v>116</v>
      </c>
      <c r="AC44" s="54"/>
      <c r="AD44" s="55"/>
      <c r="AE44" s="49">
        <f t="shared" si="8"/>
        <v>258.8828669897502</v>
      </c>
      <c r="AF44" s="48">
        <f t="shared" si="9"/>
        <v>168.8828669897502</v>
      </c>
      <c r="AG44" s="48">
        <f t="shared" si="10"/>
        <v>24.405846070562433</v>
      </c>
      <c r="AH44" s="56"/>
      <c r="AI44" s="53"/>
    </row>
    <row r="45" spans="1:36" s="39" customFormat="1" ht="21">
      <c r="A45" s="81">
        <f>40.6+0.075</f>
        <v>40.675000000000004</v>
      </c>
      <c r="B45" s="43" t="s">
        <v>96</v>
      </c>
      <c r="C45" s="43" t="s">
        <v>55</v>
      </c>
      <c r="D45" s="43">
        <v>8</v>
      </c>
      <c r="E45" s="40" t="s">
        <v>46</v>
      </c>
      <c r="F45" s="41">
        <v>7.5</v>
      </c>
      <c r="G45" s="42">
        <v>7.5</v>
      </c>
      <c r="H45" s="1"/>
      <c r="I45" s="30"/>
      <c r="J45" s="40"/>
      <c r="K45" s="45"/>
      <c r="L45" s="45"/>
      <c r="M45" s="45"/>
      <c r="N45" s="45"/>
      <c r="O45" s="46"/>
      <c r="P45" s="47"/>
      <c r="Q45" s="47"/>
      <c r="R45" s="47"/>
      <c r="S45" s="48"/>
      <c r="T45" s="48"/>
      <c r="U45" s="49"/>
      <c r="V45" s="48"/>
      <c r="W45" s="50"/>
      <c r="X45" s="51"/>
      <c r="Y45" s="52"/>
      <c r="Z45" s="53"/>
      <c r="AA45" s="40">
        <v>0</v>
      </c>
      <c r="AB45" s="43">
        <v>116</v>
      </c>
      <c r="AC45" s="54"/>
      <c r="AD45" s="55"/>
      <c r="AE45" s="49"/>
      <c r="AF45" s="48"/>
      <c r="AG45" s="48"/>
      <c r="AH45" s="56"/>
      <c r="AI45" s="53"/>
      <c r="AJ45" s="39" t="s">
        <v>99</v>
      </c>
    </row>
    <row r="46" spans="1:36" s="39" customFormat="1" ht="12.75">
      <c r="A46" s="81">
        <f>40.6+0.6</f>
        <v>41.2</v>
      </c>
      <c r="B46" s="43" t="s">
        <v>96</v>
      </c>
      <c r="C46" s="43" t="s">
        <v>55</v>
      </c>
      <c r="D46" s="43">
        <v>8</v>
      </c>
      <c r="E46" s="40" t="s">
        <v>102</v>
      </c>
      <c r="F46" s="41">
        <v>60</v>
      </c>
      <c r="G46" s="42">
        <v>60</v>
      </c>
      <c r="H46" s="1"/>
      <c r="I46" s="30"/>
      <c r="J46" s="40"/>
      <c r="K46" s="45"/>
      <c r="L46" s="45"/>
      <c r="M46" s="45"/>
      <c r="N46" s="45"/>
      <c r="O46" s="46"/>
      <c r="P46" s="47"/>
      <c r="Q46" s="47"/>
      <c r="R46" s="47"/>
      <c r="S46" s="48"/>
      <c r="T46" s="48"/>
      <c r="U46" s="49"/>
      <c r="V46" s="48"/>
      <c r="W46" s="50"/>
      <c r="X46" s="51"/>
      <c r="Y46" s="52"/>
      <c r="Z46" s="53"/>
      <c r="AA46" s="40">
        <v>0</v>
      </c>
      <c r="AB46" s="43">
        <v>116</v>
      </c>
      <c r="AC46" s="54"/>
      <c r="AD46" s="55"/>
      <c r="AE46" s="49"/>
      <c r="AF46" s="48"/>
      <c r="AG46" s="48"/>
      <c r="AH46" s="56"/>
      <c r="AI46" s="53"/>
      <c r="AJ46" s="39" t="s">
        <v>99</v>
      </c>
    </row>
    <row r="47" spans="1:36" s="39" customFormat="1" ht="12.75">
      <c r="A47" s="81">
        <f>40.6+0.786</f>
        <v>41.386</v>
      </c>
      <c r="B47" s="43" t="s">
        <v>96</v>
      </c>
      <c r="C47" s="43" t="s">
        <v>55</v>
      </c>
      <c r="D47" s="43">
        <v>8</v>
      </c>
      <c r="E47" s="40" t="s">
        <v>46</v>
      </c>
      <c r="F47" s="41">
        <v>78.6</v>
      </c>
      <c r="G47" s="42">
        <v>78.6</v>
      </c>
      <c r="H47" s="1"/>
      <c r="I47" s="30"/>
      <c r="J47" s="40"/>
      <c r="K47" s="45"/>
      <c r="L47" s="45"/>
      <c r="M47" s="45"/>
      <c r="N47" s="45"/>
      <c r="O47" s="46"/>
      <c r="P47" s="47"/>
      <c r="Q47" s="47"/>
      <c r="R47" s="47"/>
      <c r="S47" s="48"/>
      <c r="T47" s="48"/>
      <c r="U47" s="49"/>
      <c r="V47" s="48"/>
      <c r="W47" s="50"/>
      <c r="X47" s="51"/>
      <c r="Y47" s="52"/>
      <c r="Z47" s="53"/>
      <c r="AA47" s="40">
        <v>0</v>
      </c>
      <c r="AB47" s="43">
        <v>116</v>
      </c>
      <c r="AC47" s="54"/>
      <c r="AD47" s="55"/>
      <c r="AE47" s="49"/>
      <c r="AF47" s="48"/>
      <c r="AG47" s="48"/>
      <c r="AH47" s="56"/>
      <c r="AI47" s="53"/>
      <c r="AJ47" s="39" t="s">
        <v>99</v>
      </c>
    </row>
    <row r="48" spans="1:35" s="39" customFormat="1" ht="12.75">
      <c r="A48" s="81">
        <f>0.39+41.845</f>
        <v>42.235</v>
      </c>
      <c r="B48" s="43" t="s">
        <v>96</v>
      </c>
      <c r="C48" s="43" t="s">
        <v>55</v>
      </c>
      <c r="D48" s="43">
        <v>9</v>
      </c>
      <c r="E48" s="40" t="s">
        <v>46</v>
      </c>
      <c r="F48" s="41">
        <v>39</v>
      </c>
      <c r="G48" s="42">
        <v>40</v>
      </c>
      <c r="H48" s="1"/>
      <c r="I48" s="30"/>
      <c r="J48" s="40">
        <v>270</v>
      </c>
      <c r="K48" s="45">
        <v>15</v>
      </c>
      <c r="L48" s="45">
        <v>180</v>
      </c>
      <c r="M48" s="45">
        <v>16</v>
      </c>
      <c r="N48" s="45"/>
      <c r="O48" s="46"/>
      <c r="P48" s="47">
        <f t="shared" si="0"/>
        <v>-0.2662452406736689</v>
      </c>
      <c r="Q48" s="47">
        <f t="shared" si="1"/>
        <v>-0.2487928342363853</v>
      </c>
      <c r="R48" s="47">
        <f t="shared" si="2"/>
        <v>-0.9285074979292518</v>
      </c>
      <c r="S48" s="48">
        <f t="shared" si="3"/>
        <v>223.0592371384841</v>
      </c>
      <c r="T48" s="48">
        <f>ASIN(R48/SQRT(P48^2+Q48^2+R48^2))*180/PI()</f>
        <v>-68.57230536259871</v>
      </c>
      <c r="U48" s="49">
        <f t="shared" si="4"/>
        <v>223.0592371384841</v>
      </c>
      <c r="V48" s="48">
        <f t="shared" si="5"/>
        <v>133.0592371384841</v>
      </c>
      <c r="W48" s="50">
        <f t="shared" si="6"/>
        <v>21.427694637401288</v>
      </c>
      <c r="X48" s="51"/>
      <c r="Y48" s="52"/>
      <c r="Z48" s="53"/>
      <c r="AA48" s="40">
        <v>0</v>
      </c>
      <c r="AB48" s="43">
        <v>78</v>
      </c>
      <c r="AC48" s="54"/>
      <c r="AD48" s="55"/>
      <c r="AE48" s="49">
        <f t="shared" si="8"/>
        <v>223.0592371384841</v>
      </c>
      <c r="AF48" s="48">
        <f t="shared" si="9"/>
        <v>133.0592371384841</v>
      </c>
      <c r="AG48" s="48">
        <f t="shared" si="10"/>
        <v>21.427694637401288</v>
      </c>
      <c r="AH48" s="56"/>
      <c r="AI48" s="53"/>
    </row>
    <row r="49" spans="1:35" s="39" customFormat="1" ht="12.75">
      <c r="A49" s="81">
        <f>41.845+0.73</f>
        <v>42.574999999999996</v>
      </c>
      <c r="B49" s="43" t="s">
        <v>96</v>
      </c>
      <c r="C49" s="43" t="s">
        <v>55</v>
      </c>
      <c r="D49" s="43">
        <v>9</v>
      </c>
      <c r="E49" s="40" t="s">
        <v>46</v>
      </c>
      <c r="F49" s="41">
        <v>73</v>
      </c>
      <c r="G49" s="42">
        <v>75</v>
      </c>
      <c r="H49" s="1"/>
      <c r="I49" s="30"/>
      <c r="J49" s="40">
        <v>270</v>
      </c>
      <c r="K49" s="45">
        <v>10</v>
      </c>
      <c r="L49" s="45">
        <v>180</v>
      </c>
      <c r="M49" s="45">
        <v>19</v>
      </c>
      <c r="N49" s="45"/>
      <c r="O49" s="46"/>
      <c r="P49" s="47">
        <f t="shared" si="0"/>
        <v>-0.3206220426432839</v>
      </c>
      <c r="Q49" s="47">
        <f t="shared" si="1"/>
        <v>-0.16418757760305303</v>
      </c>
      <c r="R49" s="47">
        <f t="shared" si="2"/>
        <v>-0.9311540238672668</v>
      </c>
      <c r="S49" s="48">
        <f t="shared" si="3"/>
        <v>207.11656526399094</v>
      </c>
      <c r="T49" s="48">
        <f>ASIN(R49/SQRT(P49^2+Q49^2+R49^2))*180/PI()</f>
        <v>-68.85105148714071</v>
      </c>
      <c r="U49" s="49">
        <f t="shared" si="4"/>
        <v>207.11656526399094</v>
      </c>
      <c r="V49" s="48">
        <f t="shared" si="5"/>
        <v>117.11656526399094</v>
      </c>
      <c r="W49" s="50">
        <f t="shared" si="6"/>
        <v>21.148948512859292</v>
      </c>
      <c r="X49" s="51"/>
      <c r="Y49" s="52"/>
      <c r="Z49" s="53"/>
      <c r="AA49" s="40">
        <v>0</v>
      </c>
      <c r="AB49" s="43">
        <v>78</v>
      </c>
      <c r="AC49" s="54"/>
      <c r="AD49" s="55"/>
      <c r="AE49" s="49">
        <f t="shared" si="8"/>
        <v>207.11656526399094</v>
      </c>
      <c r="AF49" s="48">
        <f t="shared" si="9"/>
        <v>117.11656526399094</v>
      </c>
      <c r="AG49" s="48">
        <f t="shared" si="10"/>
        <v>21.148948512859292</v>
      </c>
      <c r="AH49" s="56"/>
      <c r="AI49" s="53"/>
    </row>
    <row r="50" spans="1:35" s="39" customFormat="1" ht="12.75">
      <c r="A50" s="81">
        <f>0.14+42.855</f>
        <v>42.995</v>
      </c>
      <c r="B50" s="43" t="s">
        <v>96</v>
      </c>
      <c r="C50" s="43" t="s">
        <v>55</v>
      </c>
      <c r="D50" s="43">
        <v>10</v>
      </c>
      <c r="E50" s="40" t="s">
        <v>46</v>
      </c>
      <c r="F50" s="41">
        <v>14</v>
      </c>
      <c r="G50" s="42">
        <v>16</v>
      </c>
      <c r="H50" s="1"/>
      <c r="I50" s="30"/>
      <c r="J50" s="40">
        <v>270</v>
      </c>
      <c r="K50" s="45">
        <v>29</v>
      </c>
      <c r="L50" s="45">
        <v>180</v>
      </c>
      <c r="M50" s="45">
        <v>9</v>
      </c>
      <c r="N50" s="45"/>
      <c r="O50" s="46"/>
      <c r="P50" s="47">
        <f t="shared" si="0"/>
        <v>-0.13682066599999482</v>
      </c>
      <c r="Q50" s="47">
        <f t="shared" si="1"/>
        <v>-0.47884080932566353</v>
      </c>
      <c r="R50" s="47">
        <f t="shared" si="2"/>
        <v>-0.8638516871963151</v>
      </c>
      <c r="S50" s="48">
        <f t="shared" si="3"/>
        <v>254.05360779762756</v>
      </c>
      <c r="T50" s="48">
        <f>ASIN(R50/SQRT(P50^2+Q50^2+R50^2))*180/PI()</f>
        <v>-60.03685298442536</v>
      </c>
      <c r="U50" s="49">
        <f t="shared" si="4"/>
        <v>254.05360779762756</v>
      </c>
      <c r="V50" s="48">
        <f t="shared" si="5"/>
        <v>164.05360779762756</v>
      </c>
      <c r="W50" s="50">
        <f t="shared" si="6"/>
        <v>29.96314701557464</v>
      </c>
      <c r="X50" s="51"/>
      <c r="Y50" s="52"/>
      <c r="Z50" s="53"/>
      <c r="AA50" s="40">
        <v>0</v>
      </c>
      <c r="AB50" s="43">
        <v>88</v>
      </c>
      <c r="AC50" s="54"/>
      <c r="AD50" s="55"/>
      <c r="AE50" s="49">
        <f t="shared" si="8"/>
        <v>254.05360779762756</v>
      </c>
      <c r="AF50" s="48">
        <f t="shared" si="9"/>
        <v>164.05360779762756</v>
      </c>
      <c r="AG50" s="48">
        <f t="shared" si="10"/>
        <v>29.96314701557464</v>
      </c>
      <c r="AH50" s="56"/>
      <c r="AI50" s="53"/>
    </row>
    <row r="51" spans="1:35" s="39" customFormat="1" ht="12.75">
      <c r="A51" s="81">
        <f>42.855+0.38</f>
        <v>43.235</v>
      </c>
      <c r="B51" s="43" t="s">
        <v>96</v>
      </c>
      <c r="C51" s="43" t="s">
        <v>55</v>
      </c>
      <c r="D51" s="43">
        <v>10</v>
      </c>
      <c r="E51" s="40" t="s">
        <v>46</v>
      </c>
      <c r="F51" s="41">
        <v>38</v>
      </c>
      <c r="G51" s="42">
        <v>40</v>
      </c>
      <c r="H51" s="1"/>
      <c r="I51" s="30"/>
      <c r="J51" s="40">
        <v>270</v>
      </c>
      <c r="K51" s="45">
        <v>30</v>
      </c>
      <c r="L51" s="45">
        <v>180</v>
      </c>
      <c r="M51" s="45">
        <v>10</v>
      </c>
      <c r="N51" s="45"/>
      <c r="O51" s="46"/>
      <c r="P51" s="47">
        <f t="shared" si="0"/>
        <v>-0.15038373318043535</v>
      </c>
      <c r="Q51" s="47">
        <f t="shared" si="1"/>
        <v>-0.49240387650610395</v>
      </c>
      <c r="R51" s="47">
        <f t="shared" si="2"/>
        <v>-0.8528685319524433</v>
      </c>
      <c r="S51" s="48">
        <f t="shared" si="3"/>
        <v>253.01694665403136</v>
      </c>
      <c r="T51" s="48">
        <f>ASIN(R51/SQRT(P51^2+Q51^2+R51^2))*180/PI()</f>
        <v>-58.881633577545294</v>
      </c>
      <c r="U51" s="49">
        <f t="shared" si="4"/>
        <v>253.01694665403136</v>
      </c>
      <c r="V51" s="48">
        <f t="shared" si="5"/>
        <v>163.01694665403136</v>
      </c>
      <c r="W51" s="50">
        <f t="shared" si="6"/>
        <v>31.118366422454706</v>
      </c>
      <c r="X51" s="51"/>
      <c r="Y51" s="52"/>
      <c r="Z51" s="53"/>
      <c r="AA51" s="40">
        <v>0</v>
      </c>
      <c r="AB51" s="43">
        <v>88</v>
      </c>
      <c r="AC51" s="54"/>
      <c r="AD51" s="55"/>
      <c r="AE51" s="49">
        <f t="shared" si="8"/>
        <v>253.01694665403136</v>
      </c>
      <c r="AF51" s="48">
        <f t="shared" si="9"/>
        <v>163.01694665403136</v>
      </c>
      <c r="AG51" s="48">
        <f t="shared" si="10"/>
        <v>31.118366422454706</v>
      </c>
      <c r="AH51" s="56"/>
      <c r="AI51" s="53"/>
    </row>
    <row r="52" spans="1:35" s="39" customFormat="1" ht="12.75">
      <c r="A52" s="81">
        <f>0.74+42.855</f>
        <v>43.595</v>
      </c>
      <c r="B52" s="43" t="s">
        <v>96</v>
      </c>
      <c r="C52" s="43" t="s">
        <v>55</v>
      </c>
      <c r="D52" s="43">
        <v>10</v>
      </c>
      <c r="E52" s="40" t="s">
        <v>46</v>
      </c>
      <c r="F52" s="41">
        <v>74</v>
      </c>
      <c r="G52" s="42">
        <v>77</v>
      </c>
      <c r="H52" s="1"/>
      <c r="I52" s="30"/>
      <c r="J52" s="40">
        <v>270</v>
      </c>
      <c r="K52" s="45">
        <v>34</v>
      </c>
      <c r="L52" s="45">
        <v>180</v>
      </c>
      <c r="M52" s="45">
        <v>12</v>
      </c>
      <c r="N52" s="45"/>
      <c r="O52" s="46"/>
      <c r="P52" s="47">
        <f t="shared" si="0"/>
        <v>-0.1723666034613696</v>
      </c>
      <c r="Q52" s="47">
        <f t="shared" si="1"/>
        <v>-0.5469731968772817</v>
      </c>
      <c r="R52" s="47">
        <f t="shared" si="2"/>
        <v>-0.8109211125128923</v>
      </c>
      <c r="S52" s="48">
        <f t="shared" si="3"/>
        <v>252.5088978476963</v>
      </c>
      <c r="T52" s="48">
        <f>ASIN(R52/SQRT(P52^2+Q52^2+R52^2))*180/PI()</f>
        <v>-54.7317745809713</v>
      </c>
      <c r="U52" s="49">
        <f t="shared" si="4"/>
        <v>252.5088978476963</v>
      </c>
      <c r="V52" s="48">
        <f t="shared" si="5"/>
        <v>162.5088978476963</v>
      </c>
      <c r="W52" s="50">
        <f t="shared" si="6"/>
        <v>35.2682254190287</v>
      </c>
      <c r="X52" s="51"/>
      <c r="Y52" s="52"/>
      <c r="Z52" s="53"/>
      <c r="AA52" s="40">
        <v>0</v>
      </c>
      <c r="AB52" s="43">
        <v>88</v>
      </c>
      <c r="AC52" s="54"/>
      <c r="AD52" s="55"/>
      <c r="AE52" s="49">
        <f t="shared" si="8"/>
        <v>252.5088978476963</v>
      </c>
      <c r="AF52" s="48">
        <f t="shared" si="9"/>
        <v>162.5088978476963</v>
      </c>
      <c r="AG52" s="48">
        <f t="shared" si="10"/>
        <v>35.2682254190287</v>
      </c>
      <c r="AH52" s="56"/>
      <c r="AI52" s="53"/>
    </row>
    <row r="53" spans="1:35" s="39" customFormat="1" ht="12.75">
      <c r="A53" s="81">
        <f>43.51+0.11</f>
        <v>43.62</v>
      </c>
      <c r="B53" s="43" t="s">
        <v>96</v>
      </c>
      <c r="C53" s="43" t="s">
        <v>57</v>
      </c>
      <c r="D53" s="43">
        <v>1</v>
      </c>
      <c r="E53" s="40" t="s">
        <v>47</v>
      </c>
      <c r="F53" s="41">
        <v>11</v>
      </c>
      <c r="G53" s="42">
        <v>15</v>
      </c>
      <c r="H53" s="1"/>
      <c r="I53" s="30"/>
      <c r="J53" s="40">
        <v>270</v>
      </c>
      <c r="K53" s="45">
        <v>32</v>
      </c>
      <c r="L53" s="45">
        <v>156</v>
      </c>
      <c r="M53" s="45">
        <v>0</v>
      </c>
      <c r="N53" s="45"/>
      <c r="O53" s="46"/>
      <c r="P53" s="47">
        <f t="shared" si="0"/>
        <v>-0.21553758263541184</v>
      </c>
      <c r="Q53" s="47">
        <f t="shared" si="1"/>
        <v>-0.48410533675755346</v>
      </c>
      <c r="R53" s="47">
        <f t="shared" si="2"/>
        <v>-0.7747304861061586</v>
      </c>
      <c r="S53" s="48">
        <f t="shared" si="3"/>
        <v>246</v>
      </c>
      <c r="T53" s="48">
        <f>ASIN(R53/SQRT(P53^2+Q53^2+R53^2))*180/PI()</f>
        <v>-55.62769010922825</v>
      </c>
      <c r="U53" s="49">
        <f t="shared" si="4"/>
        <v>246</v>
      </c>
      <c r="V53" s="48">
        <f t="shared" si="5"/>
        <v>156</v>
      </c>
      <c r="W53" s="50">
        <f t="shared" si="6"/>
        <v>34.37230989077175</v>
      </c>
      <c r="X53" s="51"/>
      <c r="Y53" s="52"/>
      <c r="Z53" s="53"/>
      <c r="AA53" s="40">
        <v>0</v>
      </c>
      <c r="AB53" s="43">
        <v>129</v>
      </c>
      <c r="AC53" s="54"/>
      <c r="AD53" s="55"/>
      <c r="AE53" s="49">
        <f t="shared" si="8"/>
        <v>246</v>
      </c>
      <c r="AF53" s="48">
        <f t="shared" si="9"/>
        <v>156</v>
      </c>
      <c r="AG53" s="48">
        <f t="shared" si="10"/>
        <v>34.37230989077175</v>
      </c>
      <c r="AH53" s="56"/>
      <c r="AI53" s="53"/>
    </row>
    <row r="54" spans="1:35" s="39" customFormat="1" ht="21">
      <c r="A54" s="81">
        <f>43.51+0.67</f>
        <v>44.18</v>
      </c>
      <c r="B54" s="43" t="s">
        <v>96</v>
      </c>
      <c r="C54" s="43" t="s">
        <v>57</v>
      </c>
      <c r="D54" s="43">
        <v>1</v>
      </c>
      <c r="E54" s="40" t="s">
        <v>47</v>
      </c>
      <c r="F54" s="41">
        <v>67</v>
      </c>
      <c r="G54" s="42">
        <v>76</v>
      </c>
      <c r="H54" s="1"/>
      <c r="I54" s="30"/>
      <c r="J54" s="40">
        <v>270</v>
      </c>
      <c r="K54" s="45">
        <v>59</v>
      </c>
      <c r="L54" s="45">
        <v>18</v>
      </c>
      <c r="M54" s="45">
        <v>0</v>
      </c>
      <c r="N54" s="45"/>
      <c r="O54" s="46"/>
      <c r="P54" s="47">
        <f t="shared" si="0"/>
        <v>-0.2648792629394534</v>
      </c>
      <c r="Q54" s="47">
        <f t="shared" si="1"/>
        <v>0.8152145468878711</v>
      </c>
      <c r="R54" s="47">
        <f t="shared" si="2"/>
        <v>0.4898303172833186</v>
      </c>
      <c r="S54" s="48">
        <f t="shared" si="3"/>
        <v>108</v>
      </c>
      <c r="T54" s="48">
        <f>ASIN(R54/SQRT(P54^2+Q54^2+R54^2))*180/PI()</f>
        <v>29.745910802019022</v>
      </c>
      <c r="U54" s="49">
        <f t="shared" si="4"/>
        <v>288</v>
      </c>
      <c r="V54" s="48">
        <f t="shared" si="5"/>
        <v>198</v>
      </c>
      <c r="W54" s="50">
        <f t="shared" si="6"/>
        <v>60.254089197980974</v>
      </c>
      <c r="X54" s="51"/>
      <c r="Y54" s="52"/>
      <c r="Z54" s="53"/>
      <c r="AA54" s="40">
        <v>0</v>
      </c>
      <c r="AB54" s="43">
        <v>129</v>
      </c>
      <c r="AC54" s="54"/>
      <c r="AD54" s="55"/>
      <c r="AE54" s="49">
        <f t="shared" si="8"/>
        <v>288</v>
      </c>
      <c r="AF54" s="48">
        <f t="shared" si="9"/>
        <v>198</v>
      </c>
      <c r="AG54" s="48">
        <f t="shared" si="10"/>
        <v>60.254089197980974</v>
      </c>
      <c r="AH54" s="56"/>
      <c r="AI54" s="53"/>
    </row>
    <row r="55" spans="1:35" s="39" customFormat="1" ht="12.75">
      <c r="A55" s="81">
        <f>43.51+0.71</f>
        <v>44.22</v>
      </c>
      <c r="B55" s="43" t="s">
        <v>96</v>
      </c>
      <c r="C55" s="43" t="s">
        <v>57</v>
      </c>
      <c r="D55" s="43">
        <v>1</v>
      </c>
      <c r="E55" s="40" t="s">
        <v>47</v>
      </c>
      <c r="F55" s="41">
        <v>71</v>
      </c>
      <c r="G55" s="42">
        <v>78</v>
      </c>
      <c r="H55" s="1"/>
      <c r="I55" s="30"/>
      <c r="J55" s="40">
        <v>270</v>
      </c>
      <c r="K55" s="45">
        <v>66</v>
      </c>
      <c r="L55" s="45">
        <v>27</v>
      </c>
      <c r="M55" s="45">
        <v>0</v>
      </c>
      <c r="N55" s="45"/>
      <c r="O55" s="46"/>
      <c r="P55" s="47">
        <f t="shared" si="0"/>
        <v>-0.4147409588499573</v>
      </c>
      <c r="Q55" s="47">
        <f t="shared" si="1"/>
        <v>0.8139749629022057</v>
      </c>
      <c r="R55" s="47">
        <f t="shared" si="2"/>
        <v>0.3624050026070134</v>
      </c>
      <c r="S55" s="48">
        <f t="shared" si="3"/>
        <v>117</v>
      </c>
      <c r="T55" s="48">
        <f>ASIN(R55/SQRT(P55^2+Q55^2+R55^2))*180/PI()</f>
        <v>21.63830996829147</v>
      </c>
      <c r="U55" s="49">
        <f t="shared" si="4"/>
        <v>297</v>
      </c>
      <c r="V55" s="48">
        <f t="shared" si="5"/>
        <v>207</v>
      </c>
      <c r="W55" s="50">
        <f t="shared" si="6"/>
        <v>68.36169003170853</v>
      </c>
      <c r="X55" s="51"/>
      <c r="Y55" s="52"/>
      <c r="Z55" s="53"/>
      <c r="AA55" s="40">
        <v>0</v>
      </c>
      <c r="AB55" s="43">
        <v>129</v>
      </c>
      <c r="AC55" s="54"/>
      <c r="AD55" s="55"/>
      <c r="AE55" s="49">
        <f t="shared" si="8"/>
        <v>297</v>
      </c>
      <c r="AF55" s="48">
        <f t="shared" si="9"/>
        <v>207</v>
      </c>
      <c r="AG55" s="48">
        <f t="shared" si="10"/>
        <v>68.36169003170853</v>
      </c>
      <c r="AH55" s="56"/>
      <c r="AI55" s="53"/>
    </row>
    <row r="56" spans="1:35" s="39" customFormat="1" ht="12.75">
      <c r="A56" s="81">
        <f>0.4+44.81</f>
        <v>45.21</v>
      </c>
      <c r="B56" s="43" t="s">
        <v>96</v>
      </c>
      <c r="C56" s="43" t="s">
        <v>57</v>
      </c>
      <c r="D56" s="43">
        <v>2</v>
      </c>
      <c r="E56" s="40" t="s">
        <v>47</v>
      </c>
      <c r="F56" s="41">
        <v>40</v>
      </c>
      <c r="G56" s="42">
        <v>52</v>
      </c>
      <c r="H56" s="1"/>
      <c r="I56" s="30"/>
      <c r="J56" s="40">
        <v>270</v>
      </c>
      <c r="K56" s="45">
        <v>64</v>
      </c>
      <c r="L56" s="45">
        <v>10</v>
      </c>
      <c r="M56" s="45">
        <v>0</v>
      </c>
      <c r="N56" s="45"/>
      <c r="O56" s="46"/>
      <c r="P56" s="47">
        <f aca="true" t="shared" si="11" ref="P56:P119">COS(K56*PI()/180)*SIN(J56*PI()/180)*(SIN(M56*PI()/180))-(COS(M56*PI()/180)*SIN(L56*PI()/180))*(SIN(K56*PI()/180))</f>
        <v>-0.15607394823773696</v>
      </c>
      <c r="Q56" s="47">
        <f aca="true" t="shared" si="12" ref="Q56:Q119">(SIN(K56*PI()/180))*(COS(M56*PI()/180)*COS(L56*PI()/180))-(SIN(M56*PI()/180))*(COS(K56*PI()/180)*COS(J56*PI()/180))</f>
        <v>0.8851393451566332</v>
      </c>
      <c r="R56" s="47">
        <f aca="true" t="shared" si="13" ref="R56:R119">(COS(K56*PI()/180)*COS(J56*PI()/180))*(COS(M56*PI()/180)*SIN(L56*PI()/180))-(COS(K56*PI()/180)*SIN(J56*PI()/180))*(COS(M56*PI()/180)*COS(L56*PI()/180))</f>
        <v>0.4317113040547361</v>
      </c>
      <c r="S56" s="48">
        <f aca="true" t="shared" si="14" ref="S56:S119">IF(P56=0,IF(Q56&gt;=0,90,270),IF(P56&gt;0,IF(Q56&gt;=0,ATAN(Q56/P56)*180/PI(),ATAN(Q56/P56)*180/PI()+360),ATAN(Q56/P56)*180/PI()+180))</f>
        <v>100</v>
      </c>
      <c r="T56" s="48">
        <f>ASIN(R56/SQRT(P56^2+Q56^2+R56^2))*180/PI()</f>
        <v>25.65603730291987</v>
      </c>
      <c r="U56" s="49">
        <f aca="true" t="shared" si="15" ref="U56:U119">IF(R56&lt;0,S56,IF(S56+180&gt;=360,S56-180,S56+180))</f>
        <v>280</v>
      </c>
      <c r="V56" s="48">
        <f aca="true" t="shared" si="16" ref="V56:V119">IF(U56-90&lt;0,U56+270,U56-90)</f>
        <v>190</v>
      </c>
      <c r="W56" s="50">
        <f aca="true" t="shared" si="17" ref="W56:W119">IF(R56&lt;0,90+T56,90-T56)</f>
        <v>64.34396269708013</v>
      </c>
      <c r="X56" s="51"/>
      <c r="Y56" s="52"/>
      <c r="Z56" s="53"/>
      <c r="AA56" s="40">
        <v>0</v>
      </c>
      <c r="AB56" s="43">
        <v>82</v>
      </c>
      <c r="AC56" s="54"/>
      <c r="AD56" s="55"/>
      <c r="AE56" s="49">
        <f t="shared" si="8"/>
        <v>280</v>
      </c>
      <c r="AF56" s="48">
        <f t="shared" si="9"/>
        <v>190</v>
      </c>
      <c r="AG56" s="48">
        <f t="shared" si="10"/>
        <v>64.34396269708013</v>
      </c>
      <c r="AH56" s="56"/>
      <c r="AI56" s="53"/>
    </row>
    <row r="57" spans="1:35" s="39" customFormat="1" ht="12.75">
      <c r="A57" s="81">
        <f>44.81+0.48</f>
        <v>45.29</v>
      </c>
      <c r="B57" s="43" t="s">
        <v>96</v>
      </c>
      <c r="C57" s="43" t="s">
        <v>57</v>
      </c>
      <c r="D57" s="43">
        <v>2</v>
      </c>
      <c r="E57" s="40" t="s">
        <v>47</v>
      </c>
      <c r="F57" s="41">
        <v>48</v>
      </c>
      <c r="G57" s="42">
        <v>65</v>
      </c>
      <c r="H57" s="1"/>
      <c r="I57" s="30"/>
      <c r="J57" s="40">
        <v>270</v>
      </c>
      <c r="K57" s="45">
        <v>72</v>
      </c>
      <c r="L57" s="45">
        <v>23</v>
      </c>
      <c r="M57" s="45">
        <v>0</v>
      </c>
      <c r="N57" s="45"/>
      <c r="O57" s="46"/>
      <c r="P57" s="47">
        <f t="shared" si="11"/>
        <v>-0.37160738586908265</v>
      </c>
      <c r="Q57" s="47">
        <f t="shared" si="12"/>
        <v>0.8754521391572587</v>
      </c>
      <c r="R57" s="47">
        <f t="shared" si="13"/>
        <v>0.28445164312142457</v>
      </c>
      <c r="S57" s="48">
        <f t="shared" si="14"/>
        <v>112.99999999999999</v>
      </c>
      <c r="T57" s="48">
        <f>ASIN(R57/SQRT(P57^2+Q57^2+R57^2))*180/PI()</f>
        <v>16.65140644649916</v>
      </c>
      <c r="U57" s="49">
        <f t="shared" si="15"/>
        <v>293</v>
      </c>
      <c r="V57" s="48">
        <f t="shared" si="16"/>
        <v>203</v>
      </c>
      <c r="W57" s="50">
        <f t="shared" si="17"/>
        <v>73.34859355350085</v>
      </c>
      <c r="X57" s="51"/>
      <c r="Y57" s="52"/>
      <c r="Z57" s="53"/>
      <c r="AA57" s="40">
        <v>0</v>
      </c>
      <c r="AB57" s="43">
        <v>82</v>
      </c>
      <c r="AC57" s="54"/>
      <c r="AD57" s="55"/>
      <c r="AE57" s="49">
        <f t="shared" si="8"/>
        <v>293</v>
      </c>
      <c r="AF57" s="48">
        <f t="shared" si="9"/>
        <v>203</v>
      </c>
      <c r="AG57" s="48">
        <f t="shared" si="10"/>
        <v>73.34859355350085</v>
      </c>
      <c r="AH57" s="56"/>
      <c r="AI57" s="53"/>
    </row>
    <row r="58" spans="1:35" s="39" customFormat="1" ht="21">
      <c r="A58" s="81">
        <f>0.1+46.295</f>
        <v>46.395</v>
      </c>
      <c r="B58" s="43" t="s">
        <v>96</v>
      </c>
      <c r="C58" s="43" t="s">
        <v>57</v>
      </c>
      <c r="D58" s="43">
        <v>3</v>
      </c>
      <c r="E58" s="40" t="s">
        <v>46</v>
      </c>
      <c r="F58" s="41">
        <v>10</v>
      </c>
      <c r="G58" s="42">
        <v>11</v>
      </c>
      <c r="H58" s="1"/>
      <c r="I58" s="30"/>
      <c r="J58" s="40">
        <v>90</v>
      </c>
      <c r="K58" s="45">
        <v>6</v>
      </c>
      <c r="L58" s="45">
        <v>180</v>
      </c>
      <c r="M58" s="45">
        <v>10</v>
      </c>
      <c r="N58" s="45"/>
      <c r="O58" s="46"/>
      <c r="P58" s="47">
        <f t="shared" si="11"/>
        <v>0.1726969147805622</v>
      </c>
      <c r="Q58" s="47">
        <f t="shared" si="12"/>
        <v>-0.10294044103643694</v>
      </c>
      <c r="R58" s="47">
        <f t="shared" si="13"/>
        <v>0.9794128730990714</v>
      </c>
      <c r="S58" s="48">
        <f t="shared" si="14"/>
        <v>329.20185591801396</v>
      </c>
      <c r="T58" s="48">
        <f>ASIN(R58/SQRT(P58^2+Q58^2+R58^2))*180/PI()</f>
        <v>78.39971637749203</v>
      </c>
      <c r="U58" s="49">
        <f t="shared" si="15"/>
        <v>149.20185591801396</v>
      </c>
      <c r="V58" s="48">
        <f t="shared" si="16"/>
        <v>59.20185591801396</v>
      </c>
      <c r="W58" s="50">
        <f t="shared" si="17"/>
        <v>11.600283622507973</v>
      </c>
      <c r="X58" s="51"/>
      <c r="Y58" s="52"/>
      <c r="Z58" s="53"/>
      <c r="AA58" s="40">
        <v>0</v>
      </c>
      <c r="AB58" s="43">
        <v>50</v>
      </c>
      <c r="AC58" s="54"/>
      <c r="AD58" s="55"/>
      <c r="AE58" s="49">
        <f t="shared" si="8"/>
        <v>149.20185591801396</v>
      </c>
      <c r="AF58" s="48">
        <f t="shared" si="9"/>
        <v>59.20185591801396</v>
      </c>
      <c r="AG58" s="48">
        <f t="shared" si="10"/>
        <v>11.600283622507973</v>
      </c>
      <c r="AH58" s="56"/>
      <c r="AI58" s="53"/>
    </row>
    <row r="59" spans="1:35" s="39" customFormat="1" ht="12.75">
      <c r="A59" s="81">
        <f>46.295+1.09</f>
        <v>47.385000000000005</v>
      </c>
      <c r="B59" s="43" t="s">
        <v>96</v>
      </c>
      <c r="C59" s="43" t="s">
        <v>57</v>
      </c>
      <c r="D59" s="43">
        <v>3</v>
      </c>
      <c r="E59" s="40" t="s">
        <v>46</v>
      </c>
      <c r="F59" s="41">
        <v>109</v>
      </c>
      <c r="G59" s="42">
        <v>111</v>
      </c>
      <c r="H59" s="1"/>
      <c r="I59" s="30"/>
      <c r="J59" s="40">
        <v>90</v>
      </c>
      <c r="K59" s="45">
        <v>20</v>
      </c>
      <c r="L59" s="45">
        <v>180</v>
      </c>
      <c r="M59" s="45">
        <v>24</v>
      </c>
      <c r="N59" s="45"/>
      <c r="O59" s="46"/>
      <c r="P59" s="47">
        <f t="shared" si="11"/>
        <v>0.3822074221015612</v>
      </c>
      <c r="Q59" s="47">
        <f t="shared" si="12"/>
        <v>-0.312450948357436</v>
      </c>
      <c r="R59" s="47">
        <f t="shared" si="13"/>
        <v>0.8584519252992378</v>
      </c>
      <c r="S59" s="48">
        <f t="shared" si="14"/>
        <v>320.73432667208357</v>
      </c>
      <c r="T59" s="48">
        <f>ASIN(R59/SQRT(P59^2+Q59^2+R59^2))*180/PI()</f>
        <v>60.098181107954424</v>
      </c>
      <c r="U59" s="49">
        <f t="shared" si="15"/>
        <v>140.73432667208357</v>
      </c>
      <c r="V59" s="48">
        <f t="shared" si="16"/>
        <v>50.73432667208357</v>
      </c>
      <c r="W59" s="50">
        <f t="shared" si="17"/>
        <v>29.901818892045576</v>
      </c>
      <c r="X59" s="51"/>
      <c r="Y59" s="52"/>
      <c r="Z59" s="53"/>
      <c r="AA59" s="40">
        <v>60</v>
      </c>
      <c r="AB59" s="43">
        <v>140</v>
      </c>
      <c r="AC59" s="54"/>
      <c r="AD59" s="55"/>
      <c r="AE59" s="49">
        <f t="shared" si="8"/>
        <v>140.73432667208357</v>
      </c>
      <c r="AF59" s="48">
        <f t="shared" si="9"/>
        <v>50.73432667208357</v>
      </c>
      <c r="AG59" s="48">
        <f t="shared" si="10"/>
        <v>29.901818892045576</v>
      </c>
      <c r="AH59" s="56"/>
      <c r="AI59" s="53"/>
    </row>
    <row r="60" spans="1:35" s="39" customFormat="1" ht="21">
      <c r="A60" s="81">
        <f>0.56+48.02</f>
        <v>48.580000000000005</v>
      </c>
      <c r="B60" s="43" t="s">
        <v>96</v>
      </c>
      <c r="C60" s="43" t="s">
        <v>57</v>
      </c>
      <c r="D60" s="43">
        <v>5</v>
      </c>
      <c r="E60" s="40" t="s">
        <v>46</v>
      </c>
      <c r="F60" s="41">
        <v>56</v>
      </c>
      <c r="G60" s="42">
        <v>58</v>
      </c>
      <c r="H60" s="1"/>
      <c r="I60" s="30"/>
      <c r="J60" s="40">
        <v>90</v>
      </c>
      <c r="K60" s="45">
        <v>18</v>
      </c>
      <c r="L60" s="45">
        <v>180</v>
      </c>
      <c r="M60" s="45">
        <v>6</v>
      </c>
      <c r="N60" s="45"/>
      <c r="O60" s="46"/>
      <c r="P60" s="47">
        <f t="shared" si="11"/>
        <v>0.09941247612902038</v>
      </c>
      <c r="Q60" s="47">
        <f t="shared" si="12"/>
        <v>-0.3073241669467797</v>
      </c>
      <c r="R60" s="47">
        <f t="shared" si="13"/>
        <v>0.9458465291882032</v>
      </c>
      <c r="S60" s="48">
        <f t="shared" si="14"/>
        <v>287.9252310907872</v>
      </c>
      <c r="T60" s="48">
        <f>ASIN(R60/SQRT(P60^2+Q60^2+R60^2))*180/PI()</f>
        <v>71.14515483590961</v>
      </c>
      <c r="U60" s="49">
        <f t="shared" si="15"/>
        <v>107.92523109078718</v>
      </c>
      <c r="V60" s="48">
        <f t="shared" si="16"/>
        <v>17.92523109078718</v>
      </c>
      <c r="W60" s="50">
        <f t="shared" si="17"/>
        <v>18.854845164090392</v>
      </c>
      <c r="X60" s="51"/>
      <c r="Y60" s="52"/>
      <c r="Z60" s="53"/>
      <c r="AA60" s="40">
        <v>0</v>
      </c>
      <c r="AB60" s="43">
        <v>102</v>
      </c>
      <c r="AC60" s="54"/>
      <c r="AD60" s="55"/>
      <c r="AE60" s="49">
        <f t="shared" si="8"/>
        <v>107.92523109078718</v>
      </c>
      <c r="AF60" s="48">
        <f t="shared" si="9"/>
        <v>17.92523109078718</v>
      </c>
      <c r="AG60" s="48">
        <f t="shared" si="10"/>
        <v>18.854845164090392</v>
      </c>
      <c r="AH60" s="56"/>
      <c r="AI60" s="53"/>
    </row>
    <row r="61" spans="1:35" s="39" customFormat="1" ht="12.75">
      <c r="A61" s="81">
        <f>0.96+48.02</f>
        <v>48.980000000000004</v>
      </c>
      <c r="B61" s="43" t="s">
        <v>96</v>
      </c>
      <c r="C61" s="43" t="s">
        <v>57</v>
      </c>
      <c r="D61" s="43">
        <v>5</v>
      </c>
      <c r="E61" s="40" t="s">
        <v>46</v>
      </c>
      <c r="F61" s="41">
        <v>96</v>
      </c>
      <c r="G61" s="42">
        <v>98</v>
      </c>
      <c r="H61" s="1"/>
      <c r="I61" s="30"/>
      <c r="J61" s="40">
        <v>90</v>
      </c>
      <c r="K61" s="45">
        <v>13</v>
      </c>
      <c r="L61" s="45">
        <v>180</v>
      </c>
      <c r="M61" s="45">
        <v>4</v>
      </c>
      <c r="N61" s="45"/>
      <c r="O61" s="46"/>
      <c r="P61" s="47">
        <f t="shared" si="11"/>
        <v>0.06796861984125291</v>
      </c>
      <c r="Q61" s="47">
        <f t="shared" si="12"/>
        <v>-0.2244030848814838</v>
      </c>
      <c r="R61" s="47">
        <f t="shared" si="13"/>
        <v>0.9719965482790865</v>
      </c>
      <c r="S61" s="48">
        <f t="shared" si="14"/>
        <v>286.850841566885</v>
      </c>
      <c r="T61" s="48">
        <f>ASIN(R61/SQRT(P61^2+Q61^2+R61^2))*180/PI()</f>
        <v>76.43787781462116</v>
      </c>
      <c r="U61" s="49">
        <f t="shared" si="15"/>
        <v>106.85084156688498</v>
      </c>
      <c r="V61" s="48">
        <f t="shared" si="16"/>
        <v>16.85084156688498</v>
      </c>
      <c r="W61" s="50">
        <f t="shared" si="17"/>
        <v>13.56212218537884</v>
      </c>
      <c r="X61" s="51"/>
      <c r="Y61" s="52"/>
      <c r="Z61" s="53"/>
      <c r="AA61" s="40">
        <v>0</v>
      </c>
      <c r="AB61" s="43">
        <v>102</v>
      </c>
      <c r="AC61" s="54"/>
      <c r="AD61" s="55"/>
      <c r="AE61" s="49">
        <f t="shared" si="8"/>
        <v>106.85084156688498</v>
      </c>
      <c r="AF61" s="48">
        <f t="shared" si="9"/>
        <v>16.85084156688498</v>
      </c>
      <c r="AG61" s="48">
        <f t="shared" si="10"/>
        <v>13.56212218537884</v>
      </c>
      <c r="AH61" s="56"/>
      <c r="AI61" s="53"/>
    </row>
    <row r="62" spans="1:35" s="39" customFormat="1" ht="21">
      <c r="A62" s="81">
        <f>49.055+0.8</f>
        <v>49.855</v>
      </c>
      <c r="B62" s="43" t="s">
        <v>96</v>
      </c>
      <c r="C62" s="43" t="s">
        <v>57</v>
      </c>
      <c r="D62" s="43">
        <v>6</v>
      </c>
      <c r="E62" s="40" t="s">
        <v>46</v>
      </c>
      <c r="F62" s="41">
        <v>80</v>
      </c>
      <c r="G62" s="42">
        <v>81</v>
      </c>
      <c r="H62" s="1"/>
      <c r="I62" s="30"/>
      <c r="J62" s="40">
        <v>90</v>
      </c>
      <c r="K62" s="45">
        <v>13</v>
      </c>
      <c r="L62" s="45">
        <v>180</v>
      </c>
      <c r="M62" s="45">
        <v>4</v>
      </c>
      <c r="N62" s="45"/>
      <c r="O62" s="46"/>
      <c r="P62" s="47">
        <f t="shared" si="11"/>
        <v>0.06796861984125291</v>
      </c>
      <c r="Q62" s="47">
        <f t="shared" si="12"/>
        <v>-0.2244030848814838</v>
      </c>
      <c r="R62" s="47">
        <f t="shared" si="13"/>
        <v>0.9719965482790865</v>
      </c>
      <c r="S62" s="48">
        <f t="shared" si="14"/>
        <v>286.850841566885</v>
      </c>
      <c r="T62" s="48">
        <f>ASIN(R62/SQRT(P62^2+Q62^2+R62^2))*180/PI()</f>
        <v>76.43787781462116</v>
      </c>
      <c r="U62" s="49">
        <f t="shared" si="15"/>
        <v>106.85084156688498</v>
      </c>
      <c r="V62" s="48">
        <f t="shared" si="16"/>
        <v>16.85084156688498</v>
      </c>
      <c r="W62" s="50">
        <f t="shared" si="17"/>
        <v>13.56212218537884</v>
      </c>
      <c r="X62" s="51"/>
      <c r="Y62" s="52"/>
      <c r="Z62" s="53"/>
      <c r="AA62" s="40">
        <v>0</v>
      </c>
      <c r="AB62" s="43">
        <v>130</v>
      </c>
      <c r="AC62" s="54"/>
      <c r="AD62" s="55"/>
      <c r="AE62" s="49">
        <f t="shared" si="8"/>
        <v>106.85084156688498</v>
      </c>
      <c r="AF62" s="48">
        <f t="shared" si="9"/>
        <v>16.85084156688498</v>
      </c>
      <c r="AG62" s="48">
        <f t="shared" si="10"/>
        <v>13.56212218537884</v>
      </c>
      <c r="AH62" s="56"/>
      <c r="AI62" s="53"/>
    </row>
    <row r="63" spans="1:35" s="39" customFormat="1" ht="12.75">
      <c r="A63" s="81">
        <f>0.96+49.055</f>
        <v>50.015</v>
      </c>
      <c r="B63" s="43" t="s">
        <v>96</v>
      </c>
      <c r="C63" s="43" t="s">
        <v>57</v>
      </c>
      <c r="D63" s="43">
        <v>6</v>
      </c>
      <c r="E63" s="40" t="s">
        <v>46</v>
      </c>
      <c r="F63" s="41">
        <v>96</v>
      </c>
      <c r="G63" s="42">
        <v>99</v>
      </c>
      <c r="H63" s="1"/>
      <c r="I63" s="30"/>
      <c r="J63" s="40">
        <v>90</v>
      </c>
      <c r="K63" s="45">
        <v>22</v>
      </c>
      <c r="L63" s="45">
        <v>0</v>
      </c>
      <c r="M63" s="45">
        <v>9</v>
      </c>
      <c r="N63" s="45"/>
      <c r="O63" s="46"/>
      <c r="P63" s="47">
        <f t="shared" si="11"/>
        <v>0.14504351028309462</v>
      </c>
      <c r="Q63" s="47">
        <f t="shared" si="12"/>
        <v>0.3699945646269596</v>
      </c>
      <c r="R63" s="47">
        <f t="shared" si="13"/>
        <v>-0.9157686827436738</v>
      </c>
      <c r="S63" s="48">
        <f t="shared" si="14"/>
        <v>68.59406339203981</v>
      </c>
      <c r="T63" s="48">
        <f>ASIN(R63/SQRT(P63^2+Q63^2+R63^2))*180/PI()</f>
        <v>-66.54099950669796</v>
      </c>
      <c r="U63" s="49">
        <f t="shared" si="15"/>
        <v>68.59406339203981</v>
      </c>
      <c r="V63" s="48">
        <f t="shared" si="16"/>
        <v>338.5940633920398</v>
      </c>
      <c r="W63" s="50">
        <f t="shared" si="17"/>
        <v>23.459000493302042</v>
      </c>
      <c r="X63" s="51"/>
      <c r="Y63" s="52"/>
      <c r="Z63" s="53"/>
      <c r="AA63" s="40">
        <v>0</v>
      </c>
      <c r="AB63" s="43">
        <v>130</v>
      </c>
      <c r="AC63" s="54"/>
      <c r="AD63" s="55"/>
      <c r="AE63" s="49">
        <f t="shared" si="8"/>
        <v>68.59406339203981</v>
      </c>
      <c r="AF63" s="48">
        <f t="shared" si="9"/>
        <v>338.5940633920398</v>
      </c>
      <c r="AG63" s="48">
        <f t="shared" si="10"/>
        <v>23.459000493302042</v>
      </c>
      <c r="AH63" s="56"/>
      <c r="AI63" s="53"/>
    </row>
    <row r="64" spans="1:35" s="39" customFormat="1" ht="12.75">
      <c r="A64" s="81">
        <f>1.17+49.055</f>
        <v>50.225</v>
      </c>
      <c r="B64" s="43" t="s">
        <v>96</v>
      </c>
      <c r="C64" s="43" t="s">
        <v>57</v>
      </c>
      <c r="D64" s="43">
        <v>6</v>
      </c>
      <c r="E64" s="40" t="s">
        <v>46</v>
      </c>
      <c r="F64" s="41">
        <v>117</v>
      </c>
      <c r="G64" s="42">
        <v>121</v>
      </c>
      <c r="H64" s="1"/>
      <c r="I64" s="30"/>
      <c r="J64" s="40">
        <v>90</v>
      </c>
      <c r="K64" s="45">
        <v>23</v>
      </c>
      <c r="L64" s="45">
        <v>0</v>
      </c>
      <c r="M64" s="45">
        <v>13</v>
      </c>
      <c r="N64" s="45"/>
      <c r="O64" s="46"/>
      <c r="P64" s="47">
        <f t="shared" si="11"/>
        <v>0.20706853731277142</v>
      </c>
      <c r="Q64" s="47">
        <f t="shared" si="12"/>
        <v>0.3807167149797017</v>
      </c>
      <c r="R64" s="47">
        <f t="shared" si="13"/>
        <v>-0.8969123736935778</v>
      </c>
      <c r="S64" s="48">
        <f t="shared" si="14"/>
        <v>61.458612037330504</v>
      </c>
      <c r="T64" s="48">
        <f>ASIN(R64/SQRT(P64^2+Q64^2+R64^2))*180/PI()</f>
        <v>-64.2103227249251</v>
      </c>
      <c r="U64" s="49">
        <f t="shared" si="15"/>
        <v>61.458612037330504</v>
      </c>
      <c r="V64" s="48">
        <f t="shared" si="16"/>
        <v>331.4586120373305</v>
      </c>
      <c r="W64" s="50">
        <f t="shared" si="17"/>
        <v>25.789677275074894</v>
      </c>
      <c r="X64" s="51"/>
      <c r="Y64" s="52"/>
      <c r="Z64" s="53"/>
      <c r="AA64" s="40">
        <v>0</v>
      </c>
      <c r="AB64" s="43">
        <v>130</v>
      </c>
      <c r="AC64" s="54"/>
      <c r="AD64" s="55"/>
      <c r="AE64" s="49">
        <f t="shared" si="8"/>
        <v>61.458612037330504</v>
      </c>
      <c r="AF64" s="48">
        <f t="shared" si="9"/>
        <v>331.4586120373305</v>
      </c>
      <c r="AG64" s="48">
        <f t="shared" si="10"/>
        <v>25.789677275074894</v>
      </c>
      <c r="AH64" s="56"/>
      <c r="AI64" s="53"/>
    </row>
    <row r="65" spans="1:35" s="39" customFormat="1" ht="12.75">
      <c r="A65" s="81">
        <f>0.42+50.37</f>
        <v>50.79</v>
      </c>
      <c r="B65" s="43" t="s">
        <v>96</v>
      </c>
      <c r="C65" s="43" t="s">
        <v>57</v>
      </c>
      <c r="D65" s="43">
        <v>7</v>
      </c>
      <c r="E65" s="40" t="s">
        <v>46</v>
      </c>
      <c r="F65" s="41">
        <v>42</v>
      </c>
      <c r="G65" s="42">
        <v>43</v>
      </c>
      <c r="H65" s="1"/>
      <c r="I65" s="30"/>
      <c r="J65" s="40">
        <v>90</v>
      </c>
      <c r="K65" s="45">
        <v>14</v>
      </c>
      <c r="L65" s="45">
        <v>0</v>
      </c>
      <c r="M65" s="45">
        <v>6</v>
      </c>
      <c r="N65" s="45"/>
      <c r="O65" s="46"/>
      <c r="P65" s="47">
        <f t="shared" si="11"/>
        <v>0.10142352118280162</v>
      </c>
      <c r="Q65" s="47">
        <f t="shared" si="12"/>
        <v>0.2405966221428671</v>
      </c>
      <c r="R65" s="47">
        <f t="shared" si="13"/>
        <v>-0.9649803447637393</v>
      </c>
      <c r="S65" s="48">
        <f t="shared" si="14"/>
        <v>67.14214128979712</v>
      </c>
      <c r="T65" s="48">
        <f>ASIN(R65/SQRT(P65^2+Q65^2+R65^2))*180/PI()</f>
        <v>-74.85967119679061</v>
      </c>
      <c r="U65" s="49">
        <f t="shared" si="15"/>
        <v>67.14214128979712</v>
      </c>
      <c r="V65" s="48">
        <f t="shared" si="16"/>
        <v>337.1421412897971</v>
      </c>
      <c r="W65" s="50">
        <f t="shared" si="17"/>
        <v>15.140328803209385</v>
      </c>
      <c r="X65" s="51"/>
      <c r="Y65" s="52"/>
      <c r="Z65" s="53"/>
      <c r="AA65" s="40">
        <v>0</v>
      </c>
      <c r="AB65" s="43">
        <v>130</v>
      </c>
      <c r="AC65" s="54"/>
      <c r="AD65" s="55"/>
      <c r="AE65" s="49">
        <f t="shared" si="8"/>
        <v>67.14214128979712</v>
      </c>
      <c r="AF65" s="48">
        <f t="shared" si="9"/>
        <v>337.1421412897971</v>
      </c>
      <c r="AG65" s="48">
        <f t="shared" si="10"/>
        <v>15.140328803209385</v>
      </c>
      <c r="AH65" s="56"/>
      <c r="AI65" s="53"/>
    </row>
    <row r="66" spans="1:35" s="39" customFormat="1" ht="21">
      <c r="A66" s="81">
        <f>0.95+50.37</f>
        <v>51.32</v>
      </c>
      <c r="B66" s="43" t="s">
        <v>96</v>
      </c>
      <c r="C66" s="43" t="s">
        <v>57</v>
      </c>
      <c r="D66" s="43">
        <v>7</v>
      </c>
      <c r="E66" s="40" t="s">
        <v>46</v>
      </c>
      <c r="F66" s="41">
        <v>95</v>
      </c>
      <c r="G66" s="42">
        <v>96</v>
      </c>
      <c r="H66" s="1"/>
      <c r="I66" s="30"/>
      <c r="J66" s="40">
        <v>90</v>
      </c>
      <c r="K66" s="45">
        <v>8</v>
      </c>
      <c r="L66" s="45">
        <v>180</v>
      </c>
      <c r="M66" s="45">
        <v>8</v>
      </c>
      <c r="N66" s="45"/>
      <c r="O66" s="46"/>
      <c r="P66" s="47">
        <f t="shared" si="11"/>
        <v>0.13781867790849955</v>
      </c>
      <c r="Q66" s="47">
        <f t="shared" si="12"/>
        <v>-0.13781867790849958</v>
      </c>
      <c r="R66" s="47">
        <f t="shared" si="13"/>
        <v>0.9806308479691596</v>
      </c>
      <c r="S66" s="48">
        <f t="shared" si="14"/>
        <v>315</v>
      </c>
      <c r="T66" s="48">
        <f>ASIN(R66/SQRT(P66^2+Q66^2+R66^2))*180/PI()</f>
        <v>78.75868710958437</v>
      </c>
      <c r="U66" s="49">
        <f t="shared" si="15"/>
        <v>135</v>
      </c>
      <c r="V66" s="48">
        <f t="shared" si="16"/>
        <v>45</v>
      </c>
      <c r="W66" s="50">
        <f t="shared" si="17"/>
        <v>11.241312890415628</v>
      </c>
      <c r="X66" s="51"/>
      <c r="Y66" s="52"/>
      <c r="Z66" s="53"/>
      <c r="AA66" s="40">
        <v>0</v>
      </c>
      <c r="AB66" s="43">
        <v>130</v>
      </c>
      <c r="AC66" s="54"/>
      <c r="AD66" s="55"/>
      <c r="AE66" s="49">
        <f t="shared" si="8"/>
        <v>135</v>
      </c>
      <c r="AF66" s="48">
        <f t="shared" si="9"/>
        <v>45</v>
      </c>
      <c r="AG66" s="48">
        <f t="shared" si="10"/>
        <v>11.241312890415628</v>
      </c>
      <c r="AH66" s="56"/>
      <c r="AI66" s="53"/>
    </row>
    <row r="67" spans="1:35" s="39" customFormat="1" ht="12.75">
      <c r="A67" s="81">
        <f>0.23+51.675</f>
        <v>51.904999999999994</v>
      </c>
      <c r="B67" s="43" t="s">
        <v>96</v>
      </c>
      <c r="C67" s="43" t="s">
        <v>57</v>
      </c>
      <c r="D67" s="43">
        <v>8</v>
      </c>
      <c r="E67" s="40" t="s">
        <v>46</v>
      </c>
      <c r="F67" s="41">
        <v>23</v>
      </c>
      <c r="G67" s="42">
        <v>25</v>
      </c>
      <c r="H67" s="1"/>
      <c r="I67" s="30"/>
      <c r="J67" s="40">
        <v>90</v>
      </c>
      <c r="K67" s="45">
        <v>18</v>
      </c>
      <c r="L67" s="45">
        <v>0</v>
      </c>
      <c r="M67" s="45">
        <v>5</v>
      </c>
      <c r="N67" s="45"/>
      <c r="O67" s="46"/>
      <c r="P67" s="47">
        <f t="shared" si="11"/>
        <v>0.08289003707270437</v>
      </c>
      <c r="Q67" s="47">
        <f t="shared" si="12"/>
        <v>0.30784109141656935</v>
      </c>
      <c r="R67" s="47">
        <f t="shared" si="13"/>
        <v>-0.9474374591188377</v>
      </c>
      <c r="S67" s="48">
        <f t="shared" si="14"/>
        <v>74.92982099384012</v>
      </c>
      <c r="T67" s="48">
        <f>ASIN(R67/SQRT(P67^2+Q67^2+R67^2))*180/PI()</f>
        <v>-71.40230937429268</v>
      </c>
      <c r="U67" s="49">
        <f t="shared" si="15"/>
        <v>74.92982099384012</v>
      </c>
      <c r="V67" s="48">
        <f t="shared" si="16"/>
        <v>344.9298209938401</v>
      </c>
      <c r="W67" s="50">
        <f t="shared" si="17"/>
        <v>18.597690625707315</v>
      </c>
      <c r="X67" s="51"/>
      <c r="Y67" s="52"/>
      <c r="Z67" s="53"/>
      <c r="AA67" s="40">
        <v>0</v>
      </c>
      <c r="AB67" s="43">
        <v>76</v>
      </c>
      <c r="AC67" s="54"/>
      <c r="AD67" s="55"/>
      <c r="AE67" s="49">
        <f t="shared" si="8"/>
        <v>74.92982099384012</v>
      </c>
      <c r="AF67" s="48">
        <f t="shared" si="9"/>
        <v>344.9298209938401</v>
      </c>
      <c r="AG67" s="48">
        <f t="shared" si="10"/>
        <v>18.597690625707315</v>
      </c>
      <c r="AH67" s="56"/>
      <c r="AI67" s="53"/>
    </row>
    <row r="68" spans="1:35" s="39" customFormat="1" ht="12.75">
      <c r="A68" s="81">
        <f>0.11+52.86</f>
        <v>52.97</v>
      </c>
      <c r="B68" s="43" t="s">
        <v>96</v>
      </c>
      <c r="C68" s="43" t="s">
        <v>57</v>
      </c>
      <c r="D68" s="43">
        <v>9</v>
      </c>
      <c r="E68" s="40" t="s">
        <v>46</v>
      </c>
      <c r="F68" s="41">
        <v>11</v>
      </c>
      <c r="G68" s="42">
        <v>13</v>
      </c>
      <c r="H68" s="1"/>
      <c r="I68" s="30"/>
      <c r="J68" s="40">
        <v>90</v>
      </c>
      <c r="K68" s="45">
        <v>18</v>
      </c>
      <c r="L68" s="45">
        <v>180</v>
      </c>
      <c r="M68" s="45">
        <v>8</v>
      </c>
      <c r="N68" s="45"/>
      <c r="O68" s="46"/>
      <c r="P68" s="47">
        <f t="shared" si="11"/>
        <v>0.1323614845610735</v>
      </c>
      <c r="Q68" s="47">
        <f t="shared" si="12"/>
        <v>-0.30600966222800385</v>
      </c>
      <c r="R68" s="47">
        <f t="shared" si="13"/>
        <v>0.9418008996556876</v>
      </c>
      <c r="S68" s="48">
        <f t="shared" si="14"/>
        <v>293.39042337877993</v>
      </c>
      <c r="T68" s="48">
        <f>ASIN(R68/SQRT(P68^2+Q68^2+R68^2))*180/PI()</f>
        <v>70.50542313744535</v>
      </c>
      <c r="U68" s="49">
        <f t="shared" si="15"/>
        <v>113.39042337877993</v>
      </c>
      <c r="V68" s="48">
        <f t="shared" si="16"/>
        <v>23.39042337877993</v>
      </c>
      <c r="W68" s="50">
        <f t="shared" si="17"/>
        <v>19.494576862554652</v>
      </c>
      <c r="X68" s="51"/>
      <c r="Y68" s="52"/>
      <c r="Z68" s="53"/>
      <c r="AA68" s="40">
        <v>0</v>
      </c>
      <c r="AB68" s="43">
        <v>39</v>
      </c>
      <c r="AC68" s="54"/>
      <c r="AD68" s="55"/>
      <c r="AE68" s="49">
        <f t="shared" si="8"/>
        <v>113.39042337877993</v>
      </c>
      <c r="AF68" s="48">
        <f t="shared" si="9"/>
        <v>23.39042337877993</v>
      </c>
      <c r="AG68" s="48">
        <f t="shared" si="10"/>
        <v>19.494576862554652</v>
      </c>
      <c r="AH68" s="56"/>
      <c r="AI68" s="53"/>
    </row>
    <row r="69" spans="1:36" s="39" customFormat="1" ht="21">
      <c r="A69" s="81">
        <f>0.56+52.86</f>
        <v>53.42</v>
      </c>
      <c r="B69" s="43" t="s">
        <v>96</v>
      </c>
      <c r="C69" s="43" t="s">
        <v>57</v>
      </c>
      <c r="D69" s="43">
        <v>9</v>
      </c>
      <c r="E69" s="40" t="s">
        <v>47</v>
      </c>
      <c r="F69" s="41">
        <v>56</v>
      </c>
      <c r="G69" s="42">
        <v>60</v>
      </c>
      <c r="H69" s="1"/>
      <c r="I69" s="30"/>
      <c r="J69" s="40">
        <v>270</v>
      </c>
      <c r="K69" s="45">
        <v>45</v>
      </c>
      <c r="L69" s="45">
        <v>134</v>
      </c>
      <c r="M69" s="45">
        <v>0</v>
      </c>
      <c r="N69" s="45"/>
      <c r="O69" s="46"/>
      <c r="P69" s="47">
        <f t="shared" si="11"/>
        <v>-0.5086500507968376</v>
      </c>
      <c r="Q69" s="47">
        <f t="shared" si="12"/>
        <v>-0.49119764435955365</v>
      </c>
      <c r="R69" s="47">
        <f t="shared" si="13"/>
        <v>-0.4911976443595538</v>
      </c>
      <c r="S69" s="48">
        <f t="shared" si="14"/>
        <v>223.99999999999997</v>
      </c>
      <c r="T69" s="48">
        <f>ASIN(R69/SQRT(P69^2+Q69^2+R69^2))*180/PI()</f>
        <v>-34.78609974471374</v>
      </c>
      <c r="U69" s="49">
        <f t="shared" si="15"/>
        <v>223.99999999999997</v>
      </c>
      <c r="V69" s="48">
        <f t="shared" si="16"/>
        <v>133.99999999999997</v>
      </c>
      <c r="W69" s="50">
        <f t="shared" si="17"/>
        <v>55.21390025528626</v>
      </c>
      <c r="X69" s="51"/>
      <c r="Y69" s="52"/>
      <c r="Z69" s="53" t="s">
        <v>48</v>
      </c>
      <c r="AA69" s="40">
        <v>53</v>
      </c>
      <c r="AB69" s="43">
        <v>80</v>
      </c>
      <c r="AC69" s="54"/>
      <c r="AD69" s="55"/>
      <c r="AE69" s="49">
        <f t="shared" si="8"/>
        <v>223.99999999999997</v>
      </c>
      <c r="AF69" s="48">
        <f t="shared" si="9"/>
        <v>133.99999999999997</v>
      </c>
      <c r="AG69" s="48">
        <f t="shared" si="10"/>
        <v>55.21390025528626</v>
      </c>
      <c r="AH69" s="56"/>
      <c r="AI69" s="53" t="str">
        <f>Z69</f>
        <v>N</v>
      </c>
      <c r="AJ69" s="39" t="s">
        <v>105</v>
      </c>
    </row>
    <row r="70" spans="1:35" s="39" customFormat="1" ht="21">
      <c r="A70" s="81">
        <f>0.37+53.01</f>
        <v>53.379999999999995</v>
      </c>
      <c r="B70" s="43" t="s">
        <v>96</v>
      </c>
      <c r="C70" s="43" t="s">
        <v>58</v>
      </c>
      <c r="D70" s="43">
        <v>1</v>
      </c>
      <c r="E70" s="40" t="s">
        <v>47</v>
      </c>
      <c r="F70" s="41">
        <v>37</v>
      </c>
      <c r="G70" s="42">
        <v>49</v>
      </c>
      <c r="H70" s="1"/>
      <c r="I70" s="30"/>
      <c r="J70" s="40">
        <v>90</v>
      </c>
      <c r="K70" s="45">
        <v>67</v>
      </c>
      <c r="L70" s="45">
        <v>122</v>
      </c>
      <c r="M70" s="45">
        <v>0</v>
      </c>
      <c r="N70" s="45"/>
      <c r="O70" s="46"/>
      <c r="P70" s="47">
        <f t="shared" si="11"/>
        <v>-0.7806323884730919</v>
      </c>
      <c r="Q70" s="47">
        <f t="shared" si="12"/>
        <v>-0.48779325466461115</v>
      </c>
      <c r="R70" s="47">
        <f t="shared" si="13"/>
        <v>0.20705595212204583</v>
      </c>
      <c r="S70" s="48">
        <f t="shared" si="14"/>
        <v>212</v>
      </c>
      <c r="T70" s="48">
        <f>ASIN(R70/SQRT(P70^2+Q70^2+R70^2))*180/PI()</f>
        <v>12.676968592556586</v>
      </c>
      <c r="U70" s="49">
        <f t="shared" si="15"/>
        <v>32</v>
      </c>
      <c r="V70" s="48">
        <f t="shared" si="16"/>
        <v>302</v>
      </c>
      <c r="W70" s="50">
        <f t="shared" si="17"/>
        <v>77.32303140744341</v>
      </c>
      <c r="X70" s="51"/>
      <c r="Y70" s="52"/>
      <c r="Z70" s="53" t="s">
        <v>48</v>
      </c>
      <c r="AA70" s="40">
        <v>0</v>
      </c>
      <c r="AB70" s="43">
        <v>64</v>
      </c>
      <c r="AC70" s="54"/>
      <c r="AD70" s="55"/>
      <c r="AE70" s="49">
        <f t="shared" si="8"/>
        <v>32</v>
      </c>
      <c r="AF70" s="48">
        <f t="shared" si="9"/>
        <v>302</v>
      </c>
      <c r="AG70" s="48">
        <f t="shared" si="10"/>
        <v>77.32303140744341</v>
      </c>
      <c r="AH70" s="56"/>
      <c r="AI70" s="53" t="str">
        <f>Z70</f>
        <v>N</v>
      </c>
    </row>
    <row r="71" spans="1:35" s="39" customFormat="1" ht="21">
      <c r="A71" s="81">
        <f>0.12+53.66</f>
        <v>53.779999999999994</v>
      </c>
      <c r="B71" s="43" t="s">
        <v>96</v>
      </c>
      <c r="C71" s="43" t="s">
        <v>58</v>
      </c>
      <c r="D71" s="43">
        <v>2</v>
      </c>
      <c r="E71" s="40" t="s">
        <v>47</v>
      </c>
      <c r="F71" s="41">
        <v>12</v>
      </c>
      <c r="G71" s="42">
        <v>21</v>
      </c>
      <c r="H71" s="1"/>
      <c r="I71" s="30"/>
      <c r="J71" s="40">
        <v>90</v>
      </c>
      <c r="K71" s="45">
        <v>66</v>
      </c>
      <c r="L71" s="45">
        <v>230</v>
      </c>
      <c r="M71" s="45">
        <v>0</v>
      </c>
      <c r="N71" s="45"/>
      <c r="O71" s="46"/>
      <c r="P71" s="47">
        <f t="shared" si="11"/>
        <v>0.699816421363698</v>
      </c>
      <c r="Q71" s="47">
        <f t="shared" si="12"/>
        <v>-0.5872157010580833</v>
      </c>
      <c r="R71" s="47">
        <f t="shared" si="13"/>
        <v>0.2614452745746208</v>
      </c>
      <c r="S71" s="48">
        <f t="shared" si="14"/>
        <v>320</v>
      </c>
      <c r="T71" s="48">
        <f>ASIN(R71/SQRT(P71^2+Q71^2+R71^2))*180/PI()</f>
        <v>15.970458737471425</v>
      </c>
      <c r="U71" s="49">
        <f t="shared" si="15"/>
        <v>140</v>
      </c>
      <c r="V71" s="48">
        <f t="shared" si="16"/>
        <v>50</v>
      </c>
      <c r="W71" s="50">
        <f t="shared" si="17"/>
        <v>74.02954126252857</v>
      </c>
      <c r="X71" s="51"/>
      <c r="Y71" s="52"/>
      <c r="Z71" s="53"/>
      <c r="AA71" s="40">
        <v>0</v>
      </c>
      <c r="AB71" s="43">
        <v>132</v>
      </c>
      <c r="AC71" s="54"/>
      <c r="AD71" s="55"/>
      <c r="AE71" s="49">
        <f t="shared" si="8"/>
        <v>140</v>
      </c>
      <c r="AF71" s="48">
        <f t="shared" si="9"/>
        <v>50</v>
      </c>
      <c r="AG71" s="48">
        <f t="shared" si="10"/>
        <v>74.02954126252857</v>
      </c>
      <c r="AH71" s="56"/>
      <c r="AI71" s="53"/>
    </row>
    <row r="72" spans="1:35" s="39" customFormat="1" ht="12.75">
      <c r="A72" s="81">
        <f>53.66+0.43</f>
        <v>54.089999999999996</v>
      </c>
      <c r="B72" s="43" t="s">
        <v>96</v>
      </c>
      <c r="C72" s="43" t="s">
        <v>58</v>
      </c>
      <c r="D72" s="43">
        <v>2</v>
      </c>
      <c r="E72" s="40" t="s">
        <v>46</v>
      </c>
      <c r="F72" s="41">
        <v>43</v>
      </c>
      <c r="G72" s="42">
        <v>44</v>
      </c>
      <c r="H72" s="1"/>
      <c r="I72" s="30"/>
      <c r="J72" s="40">
        <v>90</v>
      </c>
      <c r="K72" s="45">
        <v>12</v>
      </c>
      <c r="L72" s="45">
        <v>180</v>
      </c>
      <c r="M72" s="45">
        <v>11</v>
      </c>
      <c r="N72" s="45"/>
      <c r="O72" s="46"/>
      <c r="P72" s="47">
        <f t="shared" si="11"/>
        <v>0.1866393610259951</v>
      </c>
      <c r="Q72" s="47">
        <f t="shared" si="12"/>
        <v>-0.20409176746327862</v>
      </c>
      <c r="R72" s="47">
        <f t="shared" si="13"/>
        <v>0.9601762743044159</v>
      </c>
      <c r="S72" s="48">
        <f t="shared" si="14"/>
        <v>312.4425251303425</v>
      </c>
      <c r="T72" s="48">
        <f>ASIN(R72/SQRT(P72^2+Q72^2+R72^2))*180/PI()</f>
        <v>73.93176285150105</v>
      </c>
      <c r="U72" s="49">
        <f t="shared" si="15"/>
        <v>132.44252513034252</v>
      </c>
      <c r="V72" s="48">
        <f t="shared" si="16"/>
        <v>42.44252513034252</v>
      </c>
      <c r="W72" s="50">
        <f t="shared" si="17"/>
        <v>16.06823714849895</v>
      </c>
      <c r="X72" s="51"/>
      <c r="Y72" s="52"/>
      <c r="Z72" s="53"/>
      <c r="AA72" s="40">
        <v>0</v>
      </c>
      <c r="AB72" s="43">
        <v>132</v>
      </c>
      <c r="AC72" s="54"/>
      <c r="AD72" s="55"/>
      <c r="AE72" s="49">
        <f t="shared" si="8"/>
        <v>132.44252513034252</v>
      </c>
      <c r="AF72" s="48">
        <f t="shared" si="9"/>
        <v>42.44252513034252</v>
      </c>
      <c r="AG72" s="48">
        <f t="shared" si="10"/>
        <v>16.06823714849895</v>
      </c>
      <c r="AH72" s="56"/>
      <c r="AI72" s="53"/>
    </row>
    <row r="73" spans="1:36" s="39" customFormat="1" ht="12.75">
      <c r="A73" s="81">
        <f>0.43+53.66</f>
        <v>54.089999999999996</v>
      </c>
      <c r="B73" s="43" t="s">
        <v>96</v>
      </c>
      <c r="C73" s="43" t="s">
        <v>58</v>
      </c>
      <c r="D73" s="43">
        <v>2</v>
      </c>
      <c r="E73" s="40" t="s">
        <v>47</v>
      </c>
      <c r="F73" s="41">
        <v>43</v>
      </c>
      <c r="G73" s="42">
        <v>51</v>
      </c>
      <c r="H73" s="1"/>
      <c r="I73" s="30"/>
      <c r="J73" s="40">
        <v>90</v>
      </c>
      <c r="K73" s="45">
        <v>75</v>
      </c>
      <c r="L73" s="45">
        <v>240</v>
      </c>
      <c r="M73" s="45">
        <v>0</v>
      </c>
      <c r="N73" s="45"/>
      <c r="O73" s="46"/>
      <c r="P73" s="47">
        <f t="shared" si="11"/>
        <v>0.8365163037378076</v>
      </c>
      <c r="Q73" s="47">
        <f t="shared" si="12"/>
        <v>-0.4829629131445346</v>
      </c>
      <c r="R73" s="47">
        <f t="shared" si="13"/>
        <v>0.12940952255126048</v>
      </c>
      <c r="S73" s="48">
        <f t="shared" si="14"/>
        <v>330</v>
      </c>
      <c r="T73" s="48">
        <f>ASIN(R73/SQRT(P73^2+Q73^2+R73^2))*180/PI()</f>
        <v>7.630740212430063</v>
      </c>
      <c r="U73" s="49">
        <f t="shared" si="15"/>
        <v>150</v>
      </c>
      <c r="V73" s="48">
        <f t="shared" si="16"/>
        <v>60</v>
      </c>
      <c r="W73" s="50">
        <f t="shared" si="17"/>
        <v>82.36925978756993</v>
      </c>
      <c r="X73" s="51"/>
      <c r="Y73" s="52"/>
      <c r="Z73" s="53" t="s">
        <v>48</v>
      </c>
      <c r="AA73" s="40">
        <v>0</v>
      </c>
      <c r="AB73" s="43">
        <v>132</v>
      </c>
      <c r="AC73" s="54"/>
      <c r="AD73" s="55"/>
      <c r="AE73" s="49">
        <f t="shared" si="8"/>
        <v>150</v>
      </c>
      <c r="AF73" s="48">
        <f t="shared" si="9"/>
        <v>60</v>
      </c>
      <c r="AG73" s="48">
        <f t="shared" si="10"/>
        <v>82.36925978756993</v>
      </c>
      <c r="AH73" s="56"/>
      <c r="AI73" s="53" t="str">
        <f>Z73</f>
        <v>N</v>
      </c>
      <c r="AJ73" s="39" t="s">
        <v>106</v>
      </c>
    </row>
    <row r="74" spans="1:35" s="39" customFormat="1" ht="12.75">
      <c r="A74" s="81">
        <f>54.96+0.35</f>
        <v>55.31</v>
      </c>
      <c r="B74" s="43" t="s">
        <v>96</v>
      </c>
      <c r="C74" s="43" t="s">
        <v>58</v>
      </c>
      <c r="D74" s="43">
        <v>3</v>
      </c>
      <c r="E74" s="40" t="s">
        <v>46</v>
      </c>
      <c r="F74" s="41">
        <v>35</v>
      </c>
      <c r="G74" s="42">
        <v>35</v>
      </c>
      <c r="H74" s="1"/>
      <c r="I74" s="30"/>
      <c r="J74" s="40">
        <v>90</v>
      </c>
      <c r="K74" s="45">
        <v>1</v>
      </c>
      <c r="L74" s="45">
        <v>180</v>
      </c>
      <c r="M74" s="45">
        <v>1</v>
      </c>
      <c r="N74" s="45"/>
      <c r="O74" s="46"/>
      <c r="P74" s="47">
        <f t="shared" si="11"/>
        <v>0.01744974835125048</v>
      </c>
      <c r="Q74" s="47">
        <f t="shared" si="12"/>
        <v>-0.017449748351250485</v>
      </c>
      <c r="R74" s="47">
        <f t="shared" si="13"/>
        <v>0.9996954135095479</v>
      </c>
      <c r="S74" s="48">
        <f t="shared" si="14"/>
        <v>315</v>
      </c>
      <c r="T74" s="48">
        <f>ASIN(R74/SQRT(P74^2+Q74^2+R74^2))*180/PI()</f>
        <v>88.58593000067147</v>
      </c>
      <c r="U74" s="49">
        <f t="shared" si="15"/>
        <v>135</v>
      </c>
      <c r="V74" s="48">
        <f t="shared" si="16"/>
        <v>45</v>
      </c>
      <c r="W74" s="50">
        <f t="shared" si="17"/>
        <v>1.4140699993285324</v>
      </c>
      <c r="X74" s="51"/>
      <c r="Y74" s="52"/>
      <c r="Z74" s="53"/>
      <c r="AA74" s="40">
        <v>0</v>
      </c>
      <c r="AB74" s="43">
        <v>84</v>
      </c>
      <c r="AC74" s="54"/>
      <c r="AD74" s="55"/>
      <c r="AE74" s="49">
        <f t="shared" si="8"/>
        <v>135</v>
      </c>
      <c r="AF74" s="48">
        <f t="shared" si="9"/>
        <v>45</v>
      </c>
      <c r="AG74" s="48">
        <f t="shared" si="10"/>
        <v>1.4140699993285324</v>
      </c>
      <c r="AH74" s="56"/>
      <c r="AI74" s="53"/>
    </row>
    <row r="75" spans="1:35" s="39" customFormat="1" ht="12.75">
      <c r="A75" s="81">
        <f>0.57+54.96</f>
        <v>55.53</v>
      </c>
      <c r="B75" s="43" t="s">
        <v>96</v>
      </c>
      <c r="C75" s="43" t="s">
        <v>58</v>
      </c>
      <c r="D75" s="43">
        <v>3</v>
      </c>
      <c r="E75" s="40" t="s">
        <v>46</v>
      </c>
      <c r="F75" s="41">
        <v>57</v>
      </c>
      <c r="G75" s="42">
        <v>58</v>
      </c>
      <c r="H75" s="1"/>
      <c r="I75" s="30"/>
      <c r="J75" s="40">
        <v>90</v>
      </c>
      <c r="K75" s="45">
        <v>7</v>
      </c>
      <c r="L75" s="45">
        <v>180</v>
      </c>
      <c r="M75" s="45">
        <v>1</v>
      </c>
      <c r="N75" s="45"/>
      <c r="O75" s="46"/>
      <c r="P75" s="47">
        <f t="shared" si="11"/>
        <v>0.01732231884620597</v>
      </c>
      <c r="Q75" s="47">
        <f t="shared" si="12"/>
        <v>-0.12185078211385945</v>
      </c>
      <c r="R75" s="47">
        <f t="shared" si="13"/>
        <v>0.9923949820549218</v>
      </c>
      <c r="S75" s="48">
        <f t="shared" si="14"/>
        <v>278.090959437298</v>
      </c>
      <c r="T75" s="48">
        <f>ASIN(R75/SQRT(P75^2+Q75^2+R75^2))*180/PI()</f>
        <v>82.93032926402522</v>
      </c>
      <c r="U75" s="49">
        <f t="shared" si="15"/>
        <v>98.09095943729801</v>
      </c>
      <c r="V75" s="48">
        <f t="shared" si="16"/>
        <v>8.090959437298011</v>
      </c>
      <c r="W75" s="50">
        <f t="shared" si="17"/>
        <v>7.069670735974782</v>
      </c>
      <c r="X75" s="51"/>
      <c r="Y75" s="52"/>
      <c r="Z75" s="53"/>
      <c r="AA75" s="40">
        <v>0</v>
      </c>
      <c r="AB75" s="43">
        <v>84</v>
      </c>
      <c r="AC75" s="54"/>
      <c r="AD75" s="55"/>
      <c r="AE75" s="49">
        <f t="shared" si="8"/>
        <v>98.09095943729801</v>
      </c>
      <c r="AF75" s="48">
        <f t="shared" si="9"/>
        <v>8.090959437298011</v>
      </c>
      <c r="AG75" s="48">
        <f t="shared" si="10"/>
        <v>7.069670735974782</v>
      </c>
      <c r="AH75" s="56"/>
      <c r="AI75" s="53"/>
    </row>
    <row r="76" spans="1:35" s="39" customFormat="1" ht="21">
      <c r="A76" s="81">
        <f>0.72+56.1</f>
        <v>56.82</v>
      </c>
      <c r="B76" s="43" t="s">
        <v>96</v>
      </c>
      <c r="C76" s="43" t="s">
        <v>58</v>
      </c>
      <c r="D76" s="43">
        <v>5</v>
      </c>
      <c r="E76" s="40" t="s">
        <v>46</v>
      </c>
      <c r="F76" s="41">
        <v>72</v>
      </c>
      <c r="G76" s="42">
        <v>73</v>
      </c>
      <c r="H76" s="1"/>
      <c r="I76" s="30"/>
      <c r="J76" s="40">
        <v>270</v>
      </c>
      <c r="K76" s="45">
        <v>1</v>
      </c>
      <c r="L76" s="45">
        <v>0</v>
      </c>
      <c r="M76" s="45">
        <v>19</v>
      </c>
      <c r="N76" s="45"/>
      <c r="O76" s="46"/>
      <c r="P76" s="47">
        <f t="shared" si="11"/>
        <v>-0.32551856885030805</v>
      </c>
      <c r="Q76" s="47">
        <f t="shared" si="12"/>
        <v>0.016501574475360714</v>
      </c>
      <c r="R76" s="47">
        <f t="shared" si="13"/>
        <v>0.945374568540531</v>
      </c>
      <c r="S76" s="48">
        <f t="shared" si="14"/>
        <v>177.09797836529046</v>
      </c>
      <c r="T76" s="48">
        <f>ASIN(R76/SQRT(P76^2+Q76^2+R76^2))*180/PI()</f>
        <v>70.97735533082582</v>
      </c>
      <c r="U76" s="49">
        <f t="shared" si="15"/>
        <v>357.0979783652905</v>
      </c>
      <c r="V76" s="48">
        <f t="shared" si="16"/>
        <v>267.0979783652905</v>
      </c>
      <c r="W76" s="50">
        <f t="shared" si="17"/>
        <v>19.022644669174184</v>
      </c>
      <c r="X76" s="51"/>
      <c r="Y76" s="52"/>
      <c r="Z76" s="53"/>
      <c r="AA76" s="40">
        <v>51</v>
      </c>
      <c r="AB76" s="43">
        <v>109</v>
      </c>
      <c r="AC76" s="54"/>
      <c r="AD76" s="55"/>
      <c r="AE76" s="49">
        <f t="shared" si="8"/>
        <v>357.0979783652905</v>
      </c>
      <c r="AF76" s="48">
        <f t="shared" si="9"/>
        <v>267.0979783652905</v>
      </c>
      <c r="AG76" s="48">
        <f t="shared" si="10"/>
        <v>19.022644669174184</v>
      </c>
      <c r="AH76" s="56"/>
      <c r="AI76" s="53"/>
    </row>
    <row r="77" spans="1:35" s="39" customFormat="1" ht="21">
      <c r="A77" s="81">
        <f>56.1+0.996</f>
        <v>57.096000000000004</v>
      </c>
      <c r="B77" s="43" t="s">
        <v>96</v>
      </c>
      <c r="C77" s="43" t="s">
        <v>58</v>
      </c>
      <c r="D77" s="43">
        <v>5</v>
      </c>
      <c r="E77" s="40" t="s">
        <v>47</v>
      </c>
      <c r="F77" s="41">
        <v>96</v>
      </c>
      <c r="G77" s="42">
        <v>107</v>
      </c>
      <c r="H77" s="1"/>
      <c r="I77" s="30"/>
      <c r="J77" s="40">
        <v>270</v>
      </c>
      <c r="K77" s="45">
        <v>68</v>
      </c>
      <c r="L77" s="45">
        <v>212</v>
      </c>
      <c r="M77" s="45">
        <v>0</v>
      </c>
      <c r="N77" s="45"/>
      <c r="O77" s="46"/>
      <c r="P77" s="47">
        <f t="shared" si="11"/>
        <v>0.49133258602093877</v>
      </c>
      <c r="Q77" s="47">
        <f t="shared" si="12"/>
        <v>-0.7862965026523407</v>
      </c>
      <c r="R77" s="47">
        <f t="shared" si="13"/>
        <v>-0.31768440835400846</v>
      </c>
      <c r="S77" s="48">
        <f t="shared" si="14"/>
        <v>302</v>
      </c>
      <c r="T77" s="48">
        <f>ASIN(R77/SQRT(P77^2+Q77^2+R77^2))*180/PI()</f>
        <v>-18.91318647238314</v>
      </c>
      <c r="U77" s="49">
        <f t="shared" si="15"/>
        <v>302</v>
      </c>
      <c r="V77" s="48">
        <f t="shared" si="16"/>
        <v>212</v>
      </c>
      <c r="W77" s="50">
        <f t="shared" si="17"/>
        <v>71.08681352761687</v>
      </c>
      <c r="X77" s="51"/>
      <c r="Y77" s="52"/>
      <c r="Z77" s="53"/>
      <c r="AA77" s="40">
        <v>51</v>
      </c>
      <c r="AB77" s="43">
        <v>109</v>
      </c>
      <c r="AC77" s="54"/>
      <c r="AD77" s="55"/>
      <c r="AE77" s="49">
        <f t="shared" si="8"/>
        <v>302</v>
      </c>
      <c r="AF77" s="48">
        <f t="shared" si="9"/>
        <v>212</v>
      </c>
      <c r="AG77" s="48">
        <f t="shared" si="10"/>
        <v>71.08681352761687</v>
      </c>
      <c r="AH77" s="56"/>
      <c r="AI77" s="53"/>
    </row>
    <row r="78" spans="1:35" s="39" customFormat="1" ht="12.75">
      <c r="A78" s="81">
        <f>0.18+57.195</f>
        <v>57.375</v>
      </c>
      <c r="B78" s="43" t="s">
        <v>96</v>
      </c>
      <c r="C78" s="43" t="s">
        <v>58</v>
      </c>
      <c r="D78" s="43">
        <v>6</v>
      </c>
      <c r="E78" s="40" t="s">
        <v>46</v>
      </c>
      <c r="F78" s="41">
        <v>18</v>
      </c>
      <c r="G78" s="42">
        <v>18</v>
      </c>
      <c r="H78" s="1"/>
      <c r="I78" s="30"/>
      <c r="J78" s="40">
        <v>90</v>
      </c>
      <c r="K78" s="45">
        <v>1</v>
      </c>
      <c r="L78" s="45">
        <v>180</v>
      </c>
      <c r="M78" s="45">
        <v>1</v>
      </c>
      <c r="N78" s="45"/>
      <c r="O78" s="46"/>
      <c r="P78" s="47">
        <f t="shared" si="11"/>
        <v>0.01744974835125048</v>
      </c>
      <c r="Q78" s="47">
        <f t="shared" si="12"/>
        <v>-0.017449748351250485</v>
      </c>
      <c r="R78" s="47">
        <f t="shared" si="13"/>
        <v>0.9996954135095479</v>
      </c>
      <c r="S78" s="48">
        <f t="shared" si="14"/>
        <v>315</v>
      </c>
      <c r="T78" s="48">
        <f>ASIN(R78/SQRT(P78^2+Q78^2+R78^2))*180/PI()</f>
        <v>88.58593000067147</v>
      </c>
      <c r="U78" s="49">
        <f t="shared" si="15"/>
        <v>135</v>
      </c>
      <c r="V78" s="48">
        <f t="shared" si="16"/>
        <v>45</v>
      </c>
      <c r="W78" s="50">
        <f t="shared" si="17"/>
        <v>1.4140699993285324</v>
      </c>
      <c r="X78" s="51"/>
      <c r="Y78" s="52"/>
      <c r="Z78" s="53"/>
      <c r="AA78" s="40">
        <v>0</v>
      </c>
      <c r="AB78" s="43">
        <v>130</v>
      </c>
      <c r="AC78" s="54"/>
      <c r="AD78" s="55"/>
      <c r="AE78" s="49">
        <f t="shared" si="8"/>
        <v>135</v>
      </c>
      <c r="AF78" s="48">
        <f t="shared" si="9"/>
        <v>45</v>
      </c>
      <c r="AG78" s="48">
        <f t="shared" si="10"/>
        <v>1.4140699993285324</v>
      </c>
      <c r="AH78" s="56"/>
      <c r="AI78" s="53"/>
    </row>
    <row r="79" spans="1:35" s="39" customFormat="1" ht="12.75">
      <c r="A79" s="81">
        <f>1.21+57.195</f>
        <v>58.405</v>
      </c>
      <c r="B79" s="43" t="s">
        <v>96</v>
      </c>
      <c r="C79" s="43" t="s">
        <v>58</v>
      </c>
      <c r="D79" s="43">
        <v>6</v>
      </c>
      <c r="E79" s="40" t="s">
        <v>46</v>
      </c>
      <c r="F79" s="41">
        <v>121</v>
      </c>
      <c r="G79" s="42">
        <v>122</v>
      </c>
      <c r="H79" s="1"/>
      <c r="I79" s="30"/>
      <c r="J79" s="40">
        <v>90</v>
      </c>
      <c r="K79" s="45">
        <v>9</v>
      </c>
      <c r="L79" s="45">
        <v>0</v>
      </c>
      <c r="M79" s="45">
        <v>7</v>
      </c>
      <c r="N79" s="45"/>
      <c r="O79" s="46"/>
      <c r="P79" s="47">
        <f t="shared" si="11"/>
        <v>0.12036892955724911</v>
      </c>
      <c r="Q79" s="47">
        <f t="shared" si="12"/>
        <v>0.15526842625975007</v>
      </c>
      <c r="R79" s="47">
        <f t="shared" si="13"/>
        <v>-0.9803262614787073</v>
      </c>
      <c r="S79" s="48">
        <f t="shared" si="14"/>
        <v>52.21604034902853</v>
      </c>
      <c r="T79" s="48">
        <f>ASIN(R79/SQRT(P79^2+Q79^2+R79^2))*180/PI()</f>
        <v>-78.66782357766513</v>
      </c>
      <c r="U79" s="49">
        <f t="shared" si="15"/>
        <v>52.21604034902853</v>
      </c>
      <c r="V79" s="48">
        <f t="shared" si="16"/>
        <v>322.2160403490285</v>
      </c>
      <c r="W79" s="50">
        <f t="shared" si="17"/>
        <v>11.332176422334868</v>
      </c>
      <c r="X79" s="51"/>
      <c r="Y79" s="52"/>
      <c r="Z79" s="53"/>
      <c r="AA79" s="40">
        <v>0</v>
      </c>
      <c r="AB79" s="43">
        <v>130</v>
      </c>
      <c r="AC79" s="54"/>
      <c r="AD79" s="55"/>
      <c r="AE79" s="49">
        <f t="shared" si="8"/>
        <v>52.21604034902853</v>
      </c>
      <c r="AF79" s="48">
        <f t="shared" si="9"/>
        <v>322.2160403490285</v>
      </c>
      <c r="AG79" s="48">
        <f t="shared" si="10"/>
        <v>11.332176422334868</v>
      </c>
      <c r="AH79" s="56"/>
      <c r="AI79" s="53"/>
    </row>
    <row r="80" spans="1:35" s="39" customFormat="1" ht="12.75">
      <c r="A80" s="81">
        <f>0.35+58.505</f>
        <v>58.855000000000004</v>
      </c>
      <c r="B80" s="43" t="s">
        <v>96</v>
      </c>
      <c r="C80" s="43" t="s">
        <v>58</v>
      </c>
      <c r="D80" s="43">
        <v>7</v>
      </c>
      <c r="E80" s="40" t="s">
        <v>46</v>
      </c>
      <c r="F80" s="41">
        <v>35</v>
      </c>
      <c r="G80" s="42">
        <v>36</v>
      </c>
      <c r="H80" s="1"/>
      <c r="I80" s="30"/>
      <c r="J80" s="40">
        <v>90</v>
      </c>
      <c r="K80" s="45">
        <v>11</v>
      </c>
      <c r="L80" s="45">
        <v>180</v>
      </c>
      <c r="M80" s="45">
        <v>6</v>
      </c>
      <c r="N80" s="45"/>
      <c r="O80" s="46"/>
      <c r="P80" s="47">
        <f t="shared" si="11"/>
        <v>0.10260798098753923</v>
      </c>
      <c r="Q80" s="47">
        <f t="shared" si="12"/>
        <v>-0.18976372373519743</v>
      </c>
      <c r="R80" s="47">
        <f t="shared" si="13"/>
        <v>0.9762497270273904</v>
      </c>
      <c r="S80" s="48">
        <f t="shared" si="14"/>
        <v>298.40072852757675</v>
      </c>
      <c r="T80" s="48">
        <f>ASIN(R80/SQRT(P80^2+Q80^2+R80^2))*180/PI()</f>
        <v>77.5392271015405</v>
      </c>
      <c r="U80" s="49">
        <f t="shared" si="15"/>
        <v>118.40072852757675</v>
      </c>
      <c r="V80" s="48">
        <f t="shared" si="16"/>
        <v>28.400728527576746</v>
      </c>
      <c r="W80" s="50">
        <f t="shared" si="17"/>
        <v>12.460772898459496</v>
      </c>
      <c r="X80" s="51"/>
      <c r="Y80" s="52"/>
      <c r="Z80" s="53"/>
      <c r="AA80" s="40">
        <v>0</v>
      </c>
      <c r="AB80" s="43">
        <v>130</v>
      </c>
      <c r="AC80" s="54"/>
      <c r="AD80" s="55"/>
      <c r="AE80" s="49">
        <f t="shared" si="8"/>
        <v>118.40072852757675</v>
      </c>
      <c r="AF80" s="48">
        <f t="shared" si="9"/>
        <v>28.400728527576746</v>
      </c>
      <c r="AG80" s="48">
        <f t="shared" si="10"/>
        <v>12.460772898459496</v>
      </c>
      <c r="AH80" s="56"/>
      <c r="AI80" s="53"/>
    </row>
    <row r="81" spans="1:35" s="39" customFormat="1" ht="12.75">
      <c r="A81" s="81">
        <f>0.68+58.505</f>
        <v>59.185</v>
      </c>
      <c r="B81" s="43" t="s">
        <v>96</v>
      </c>
      <c r="C81" s="43" t="s">
        <v>58</v>
      </c>
      <c r="D81" s="43">
        <v>7</v>
      </c>
      <c r="E81" s="40" t="s">
        <v>47</v>
      </c>
      <c r="F81" s="41">
        <v>68</v>
      </c>
      <c r="G81" s="42">
        <v>74</v>
      </c>
      <c r="H81" s="1"/>
      <c r="I81" s="30"/>
      <c r="J81" s="40">
        <v>90</v>
      </c>
      <c r="K81" s="45">
        <v>43</v>
      </c>
      <c r="L81" s="45">
        <v>121</v>
      </c>
      <c r="M81" s="45">
        <v>0</v>
      </c>
      <c r="N81" s="45"/>
      <c r="O81" s="46"/>
      <c r="P81" s="47">
        <f t="shared" si="11"/>
        <v>-0.5845866933780391</v>
      </c>
      <c r="Q81" s="47">
        <f t="shared" si="12"/>
        <v>-0.3512551224584032</v>
      </c>
      <c r="R81" s="47">
        <f t="shared" si="13"/>
        <v>0.3766750025602798</v>
      </c>
      <c r="S81" s="48">
        <f t="shared" si="14"/>
        <v>211</v>
      </c>
      <c r="T81" s="48">
        <f>ASIN(R81/SQRT(P81^2+Q81^2+R81^2))*180/PI()</f>
        <v>28.912340829765004</v>
      </c>
      <c r="U81" s="49">
        <f t="shared" si="15"/>
        <v>31</v>
      </c>
      <c r="V81" s="48">
        <f t="shared" si="16"/>
        <v>301</v>
      </c>
      <c r="W81" s="50">
        <f t="shared" si="17"/>
        <v>61.087659170235</v>
      </c>
      <c r="X81" s="51"/>
      <c r="Y81" s="52"/>
      <c r="Z81" s="53" t="s">
        <v>48</v>
      </c>
      <c r="AA81" s="40">
        <v>0</v>
      </c>
      <c r="AB81" s="43">
        <v>130</v>
      </c>
      <c r="AC81" s="54"/>
      <c r="AD81" s="55"/>
      <c r="AE81" s="49">
        <f t="shared" si="8"/>
        <v>31</v>
      </c>
      <c r="AF81" s="48">
        <f t="shared" si="9"/>
        <v>301</v>
      </c>
      <c r="AG81" s="48">
        <f t="shared" si="10"/>
        <v>61.087659170235</v>
      </c>
      <c r="AH81" s="56"/>
      <c r="AI81" s="53" t="str">
        <f>Z81</f>
        <v>N</v>
      </c>
    </row>
    <row r="82" spans="1:35" s="39" customFormat="1" ht="12.75">
      <c r="A82" s="81">
        <f>0.18+59.81</f>
        <v>59.99</v>
      </c>
      <c r="B82" s="43" t="s">
        <v>96</v>
      </c>
      <c r="C82" s="43" t="s">
        <v>58</v>
      </c>
      <c r="D82" s="43">
        <v>8</v>
      </c>
      <c r="E82" s="40" t="s">
        <v>46</v>
      </c>
      <c r="F82" s="41">
        <v>18</v>
      </c>
      <c r="G82" s="42">
        <v>19</v>
      </c>
      <c r="H82" s="1"/>
      <c r="I82" s="30"/>
      <c r="J82" s="40">
        <v>90</v>
      </c>
      <c r="K82" s="45">
        <v>16</v>
      </c>
      <c r="L82" s="45">
        <v>180</v>
      </c>
      <c r="M82" s="45">
        <v>10</v>
      </c>
      <c r="N82" s="45"/>
      <c r="O82" s="46"/>
      <c r="P82" s="47">
        <f t="shared" si="11"/>
        <v>0.16692134176071194</v>
      </c>
      <c r="Q82" s="47">
        <f t="shared" si="12"/>
        <v>-0.2714498050283654</v>
      </c>
      <c r="R82" s="47">
        <f t="shared" si="13"/>
        <v>0.9466579708337202</v>
      </c>
      <c r="S82" s="48">
        <f t="shared" si="14"/>
        <v>301.5884084682143</v>
      </c>
      <c r="T82" s="48">
        <f>ASIN(R82/SQRT(P82^2+Q82^2+R82^2))*180/PI()</f>
        <v>71.39565391840631</v>
      </c>
      <c r="U82" s="49">
        <f t="shared" si="15"/>
        <v>121.58840846821431</v>
      </c>
      <c r="V82" s="48">
        <f t="shared" si="16"/>
        <v>31.58840846821431</v>
      </c>
      <c r="W82" s="50">
        <f t="shared" si="17"/>
        <v>18.60434608159369</v>
      </c>
      <c r="X82" s="51"/>
      <c r="Y82" s="52"/>
      <c r="Z82" s="53"/>
      <c r="AA82" s="40">
        <v>0</v>
      </c>
      <c r="AB82" s="43">
        <v>114</v>
      </c>
      <c r="AC82" s="54"/>
      <c r="AD82" s="55"/>
      <c r="AE82" s="49">
        <f t="shared" si="8"/>
        <v>121.58840846821431</v>
      </c>
      <c r="AF82" s="48">
        <f t="shared" si="9"/>
        <v>31.58840846821431</v>
      </c>
      <c r="AG82" s="48">
        <f t="shared" si="10"/>
        <v>18.60434608159369</v>
      </c>
      <c r="AH82" s="56"/>
      <c r="AI82" s="53"/>
    </row>
    <row r="83" spans="1:35" s="39" customFormat="1" ht="12.75">
      <c r="A83" s="81">
        <f>0.84+59.81</f>
        <v>60.650000000000006</v>
      </c>
      <c r="B83" s="43" t="s">
        <v>96</v>
      </c>
      <c r="C83" s="43" t="s">
        <v>58</v>
      </c>
      <c r="D83" s="43">
        <v>8</v>
      </c>
      <c r="E83" s="40" t="s">
        <v>46</v>
      </c>
      <c r="F83" s="41">
        <v>84</v>
      </c>
      <c r="G83" s="42">
        <v>85</v>
      </c>
      <c r="H83" s="1"/>
      <c r="I83" s="30"/>
      <c r="J83" s="40">
        <v>90</v>
      </c>
      <c r="K83" s="45">
        <v>11</v>
      </c>
      <c r="L83" s="45">
        <v>180</v>
      </c>
      <c r="M83" s="45">
        <v>10</v>
      </c>
      <c r="N83" s="45"/>
      <c r="O83" s="46"/>
      <c r="P83" s="47">
        <f t="shared" si="11"/>
        <v>0.17045777155400835</v>
      </c>
      <c r="Q83" s="47">
        <f t="shared" si="12"/>
        <v>-0.18791017799129187</v>
      </c>
      <c r="R83" s="47">
        <f t="shared" si="13"/>
        <v>0.9667140608267965</v>
      </c>
      <c r="S83" s="48">
        <f t="shared" si="14"/>
        <v>312.21191629307765</v>
      </c>
      <c r="T83" s="48">
        <f>ASIN(R83/SQRT(P83^2+Q83^2+R83^2))*180/PI()</f>
        <v>75.29489644232363</v>
      </c>
      <c r="U83" s="49">
        <f t="shared" si="15"/>
        <v>132.21191629307765</v>
      </c>
      <c r="V83" s="48">
        <f t="shared" si="16"/>
        <v>42.21191629307765</v>
      </c>
      <c r="W83" s="50">
        <f t="shared" si="17"/>
        <v>14.705103557676367</v>
      </c>
      <c r="X83" s="51"/>
      <c r="Y83" s="52"/>
      <c r="Z83" s="53"/>
      <c r="AA83" s="40">
        <v>0</v>
      </c>
      <c r="AB83" s="43">
        <v>114</v>
      </c>
      <c r="AC83" s="54"/>
      <c r="AD83" s="55"/>
      <c r="AE83" s="49">
        <f t="shared" si="8"/>
        <v>132.21191629307765</v>
      </c>
      <c r="AF83" s="48">
        <f t="shared" si="9"/>
        <v>42.21191629307765</v>
      </c>
      <c r="AG83" s="48">
        <f t="shared" si="10"/>
        <v>14.705103557676367</v>
      </c>
      <c r="AH83" s="56"/>
      <c r="AI83" s="53"/>
    </row>
    <row r="84" spans="1:35" s="39" customFormat="1" ht="12.75">
      <c r="A84" s="81">
        <f>0.17+61.39</f>
        <v>61.56</v>
      </c>
      <c r="B84" s="43" t="s">
        <v>96</v>
      </c>
      <c r="C84" s="43" t="s">
        <v>58</v>
      </c>
      <c r="D84" s="43" t="s">
        <v>52</v>
      </c>
      <c r="E84" s="40" t="s">
        <v>46</v>
      </c>
      <c r="F84" s="41">
        <v>17</v>
      </c>
      <c r="G84" s="42">
        <v>17</v>
      </c>
      <c r="H84" s="1"/>
      <c r="I84" s="30"/>
      <c r="J84" s="40">
        <v>270</v>
      </c>
      <c r="K84" s="45">
        <v>6</v>
      </c>
      <c r="L84" s="45">
        <v>180</v>
      </c>
      <c r="M84" s="45">
        <v>10</v>
      </c>
      <c r="N84" s="45"/>
      <c r="O84" s="46"/>
      <c r="P84" s="47">
        <f t="shared" si="11"/>
        <v>-0.1726969147805622</v>
      </c>
      <c r="Q84" s="47">
        <f t="shared" si="12"/>
        <v>-0.1029404410364369</v>
      </c>
      <c r="R84" s="47">
        <f t="shared" si="13"/>
        <v>-0.9794128730990714</v>
      </c>
      <c r="S84" s="48">
        <f t="shared" si="14"/>
        <v>210.798144081986</v>
      </c>
      <c r="T84" s="48">
        <f>ASIN(R84/SQRT(P84^2+Q84^2+R84^2))*180/PI()</f>
        <v>-78.39971637749203</v>
      </c>
      <c r="U84" s="49">
        <f t="shared" si="15"/>
        <v>210.798144081986</v>
      </c>
      <c r="V84" s="48">
        <f t="shared" si="16"/>
        <v>120.79814408198601</v>
      </c>
      <c r="W84" s="50">
        <f t="shared" si="17"/>
        <v>11.600283622507973</v>
      </c>
      <c r="X84" s="51"/>
      <c r="Y84" s="52"/>
      <c r="Z84" s="53"/>
      <c r="AA84" s="40">
        <v>0</v>
      </c>
      <c r="AB84" s="43">
        <v>110</v>
      </c>
      <c r="AC84" s="54"/>
      <c r="AD84" s="55"/>
      <c r="AE84" s="49">
        <f t="shared" si="8"/>
        <v>210.798144081986</v>
      </c>
      <c r="AF84" s="48">
        <f t="shared" si="9"/>
        <v>120.79814408198601</v>
      </c>
      <c r="AG84" s="48">
        <f t="shared" si="10"/>
        <v>11.600283622507973</v>
      </c>
      <c r="AH84" s="56"/>
      <c r="AI84" s="53"/>
    </row>
    <row r="85" spans="1:35" s="39" customFormat="1" ht="12.75">
      <c r="A85" s="81">
        <f>1+67.51</f>
        <v>68.51</v>
      </c>
      <c r="B85" s="43" t="s">
        <v>96</v>
      </c>
      <c r="C85" s="43" t="s">
        <v>61</v>
      </c>
      <c r="D85" s="43">
        <v>1</v>
      </c>
      <c r="E85" s="40" t="s">
        <v>46</v>
      </c>
      <c r="F85" s="41">
        <v>100</v>
      </c>
      <c r="G85" s="42">
        <v>100</v>
      </c>
      <c r="H85" s="1"/>
      <c r="I85" s="30"/>
      <c r="J85" s="40">
        <v>90</v>
      </c>
      <c r="K85" s="45">
        <v>1</v>
      </c>
      <c r="L85" s="45">
        <v>180</v>
      </c>
      <c r="M85" s="45">
        <v>8</v>
      </c>
      <c r="N85" s="45"/>
      <c r="O85" s="46"/>
      <c r="P85" s="47">
        <f t="shared" si="11"/>
        <v>0.13915190422268917</v>
      </c>
      <c r="Q85" s="47">
        <f t="shared" si="12"/>
        <v>-0.0172825608175417</v>
      </c>
      <c r="R85" s="47">
        <f t="shared" si="13"/>
        <v>0.9901172461182299</v>
      </c>
      <c r="S85" s="48">
        <f t="shared" si="14"/>
        <v>352.9201623862014</v>
      </c>
      <c r="T85" s="48">
        <f>ASIN(R85/SQRT(P85^2+Q85^2+R85^2))*180/PI()</f>
        <v>81.93933913248243</v>
      </c>
      <c r="U85" s="49">
        <f t="shared" si="15"/>
        <v>172.9201623862014</v>
      </c>
      <c r="V85" s="48">
        <f t="shared" si="16"/>
        <v>82.92016238620141</v>
      </c>
      <c r="W85" s="50">
        <f t="shared" si="17"/>
        <v>8.06066086751757</v>
      </c>
      <c r="X85" s="51"/>
      <c r="Y85" s="52"/>
      <c r="Z85" s="53"/>
      <c r="AA85" s="40">
        <v>87</v>
      </c>
      <c r="AB85" s="43">
        <v>108</v>
      </c>
      <c r="AC85" s="54"/>
      <c r="AD85" s="55"/>
      <c r="AE85" s="49">
        <f t="shared" si="8"/>
        <v>172.9201623862014</v>
      </c>
      <c r="AF85" s="48">
        <f t="shared" si="9"/>
        <v>82.92016238620141</v>
      </c>
      <c r="AG85" s="48">
        <f t="shared" si="10"/>
        <v>8.06066086751757</v>
      </c>
      <c r="AH85" s="56"/>
      <c r="AI85" s="53"/>
    </row>
    <row r="86" spans="1:35" s="39" customFormat="1" ht="21">
      <c r="A86" s="81">
        <f>0.34+68.6</f>
        <v>68.94</v>
      </c>
      <c r="B86" s="43" t="s">
        <v>96</v>
      </c>
      <c r="C86" s="43" t="s">
        <v>61</v>
      </c>
      <c r="D86" s="43">
        <v>2</v>
      </c>
      <c r="E86" s="40" t="s">
        <v>46</v>
      </c>
      <c r="F86" s="41">
        <v>34</v>
      </c>
      <c r="G86" s="42">
        <v>35</v>
      </c>
      <c r="H86" s="1"/>
      <c r="I86" s="30"/>
      <c r="J86" s="40">
        <v>270</v>
      </c>
      <c r="K86" s="45">
        <v>6</v>
      </c>
      <c r="L86" s="45">
        <v>0</v>
      </c>
      <c r="M86" s="45">
        <v>14</v>
      </c>
      <c r="N86" s="45"/>
      <c r="O86" s="46"/>
      <c r="P86" s="47">
        <f t="shared" si="11"/>
        <v>-0.2405966221428671</v>
      </c>
      <c r="Q86" s="47">
        <f t="shared" si="12"/>
        <v>0.10142352118280167</v>
      </c>
      <c r="R86" s="47">
        <f t="shared" si="13"/>
        <v>0.9649803447637393</v>
      </c>
      <c r="S86" s="48">
        <f t="shared" si="14"/>
        <v>157.1421412897971</v>
      </c>
      <c r="T86" s="48">
        <f>ASIN(R86/SQRT(P86^2+Q86^2+R86^2))*180/PI()</f>
        <v>74.85967119679059</v>
      </c>
      <c r="U86" s="49">
        <f t="shared" si="15"/>
        <v>337.1421412897971</v>
      </c>
      <c r="V86" s="48">
        <f t="shared" si="16"/>
        <v>247.1421412897971</v>
      </c>
      <c r="W86" s="50">
        <f t="shared" si="17"/>
        <v>15.140328803209414</v>
      </c>
      <c r="X86" s="51"/>
      <c r="Y86" s="52"/>
      <c r="Z86" s="53"/>
      <c r="AA86" s="40">
        <v>0</v>
      </c>
      <c r="AB86" s="43">
        <v>67</v>
      </c>
      <c r="AC86" s="54"/>
      <c r="AD86" s="55"/>
      <c r="AE86" s="49">
        <f t="shared" si="8"/>
        <v>337.1421412897971</v>
      </c>
      <c r="AF86" s="48">
        <f t="shared" si="9"/>
        <v>247.1421412897971</v>
      </c>
      <c r="AG86" s="48">
        <f t="shared" si="10"/>
        <v>15.140328803209414</v>
      </c>
      <c r="AH86" s="56"/>
      <c r="AI86" s="53"/>
    </row>
    <row r="87" spans="1:36" s="39" customFormat="1" ht="12.75">
      <c r="A87" s="81">
        <f>0.34+68.6</f>
        <v>68.94</v>
      </c>
      <c r="B87" s="43" t="s">
        <v>96</v>
      </c>
      <c r="C87" s="43" t="s">
        <v>61</v>
      </c>
      <c r="D87" s="43">
        <v>2</v>
      </c>
      <c r="E87" s="40" t="s">
        <v>47</v>
      </c>
      <c r="F87" s="41">
        <v>34</v>
      </c>
      <c r="G87" s="42">
        <v>44</v>
      </c>
      <c r="H87" s="1"/>
      <c r="I87" s="30"/>
      <c r="J87" s="40">
        <v>270</v>
      </c>
      <c r="K87" s="45">
        <v>80</v>
      </c>
      <c r="L87" s="45">
        <v>30</v>
      </c>
      <c r="M87" s="45">
        <v>0</v>
      </c>
      <c r="N87" s="45"/>
      <c r="O87" s="46"/>
      <c r="P87" s="47">
        <f t="shared" si="11"/>
        <v>-0.49240387650610395</v>
      </c>
      <c r="Q87" s="47">
        <f t="shared" si="12"/>
        <v>0.8528685319524433</v>
      </c>
      <c r="R87" s="47">
        <f t="shared" si="13"/>
        <v>0.15038373318043533</v>
      </c>
      <c r="S87" s="48">
        <f t="shared" si="14"/>
        <v>120</v>
      </c>
      <c r="T87" s="48">
        <f>ASIN(R87/SQRT(P87^2+Q87^2+R87^2))*180/PI()</f>
        <v>8.682203901046169</v>
      </c>
      <c r="U87" s="49">
        <f t="shared" si="15"/>
        <v>300</v>
      </c>
      <c r="V87" s="48">
        <f t="shared" si="16"/>
        <v>210</v>
      </c>
      <c r="W87" s="50">
        <f t="shared" si="17"/>
        <v>81.31779609895383</v>
      </c>
      <c r="X87" s="51"/>
      <c r="Y87" s="52"/>
      <c r="Z87" s="53" t="s">
        <v>48</v>
      </c>
      <c r="AA87" s="40">
        <v>0</v>
      </c>
      <c r="AB87" s="43">
        <v>67</v>
      </c>
      <c r="AC87" s="54"/>
      <c r="AD87" s="55"/>
      <c r="AE87" s="49">
        <f t="shared" si="8"/>
        <v>300</v>
      </c>
      <c r="AF87" s="48">
        <f t="shared" si="9"/>
        <v>210</v>
      </c>
      <c r="AG87" s="48">
        <f t="shared" si="10"/>
        <v>81.31779609895383</v>
      </c>
      <c r="AH87" s="56"/>
      <c r="AI87" s="53" t="str">
        <f>Z87</f>
        <v>N</v>
      </c>
      <c r="AJ87" s="39" t="s">
        <v>107</v>
      </c>
    </row>
    <row r="88" spans="1:36" s="39" customFormat="1" ht="12.75">
      <c r="A88" s="81">
        <f>0.52+68.6</f>
        <v>69.11999999999999</v>
      </c>
      <c r="B88" s="43" t="s">
        <v>96</v>
      </c>
      <c r="C88" s="43" t="s">
        <v>61</v>
      </c>
      <c r="D88" s="43">
        <v>2</v>
      </c>
      <c r="E88" s="40" t="s">
        <v>47</v>
      </c>
      <c r="F88" s="41">
        <v>52</v>
      </c>
      <c r="G88" s="42">
        <v>62</v>
      </c>
      <c r="H88" s="1"/>
      <c r="I88" s="30"/>
      <c r="J88" s="40">
        <v>90</v>
      </c>
      <c r="K88" s="45">
        <v>55</v>
      </c>
      <c r="L88" s="45">
        <v>24</v>
      </c>
      <c r="M88" s="45">
        <v>0</v>
      </c>
      <c r="N88" s="45"/>
      <c r="O88" s="46"/>
      <c r="P88" s="47">
        <f t="shared" si="11"/>
        <v>-0.33317915266278364</v>
      </c>
      <c r="Q88" s="47">
        <f t="shared" si="12"/>
        <v>0.748332629178859</v>
      </c>
      <c r="R88" s="47">
        <f t="shared" si="13"/>
        <v>-0.5239881480393286</v>
      </c>
      <c r="S88" s="48">
        <f t="shared" si="14"/>
        <v>114</v>
      </c>
      <c r="T88" s="48">
        <f>ASIN(R88/SQRT(P88^2+Q88^2+R88^2))*180/PI()</f>
        <v>-32.60588517627545</v>
      </c>
      <c r="U88" s="49">
        <f t="shared" si="15"/>
        <v>114</v>
      </c>
      <c r="V88" s="48">
        <f t="shared" si="16"/>
        <v>24</v>
      </c>
      <c r="W88" s="50">
        <f t="shared" si="17"/>
        <v>57.39411482372455</v>
      </c>
      <c r="X88" s="51"/>
      <c r="Y88" s="52"/>
      <c r="Z88" s="53" t="s">
        <v>48</v>
      </c>
      <c r="AA88" s="40">
        <v>0</v>
      </c>
      <c r="AB88" s="43">
        <v>67</v>
      </c>
      <c r="AC88" s="54"/>
      <c r="AD88" s="55"/>
      <c r="AE88" s="49">
        <f t="shared" si="8"/>
        <v>114</v>
      </c>
      <c r="AF88" s="48">
        <f t="shared" si="9"/>
        <v>24</v>
      </c>
      <c r="AG88" s="48">
        <f t="shared" si="10"/>
        <v>57.39411482372455</v>
      </c>
      <c r="AH88" s="56"/>
      <c r="AI88" s="53" t="str">
        <f>Z88</f>
        <v>N</v>
      </c>
      <c r="AJ88" s="39" t="s">
        <v>108</v>
      </c>
    </row>
    <row r="89" spans="1:35" s="39" customFormat="1" ht="12.75">
      <c r="A89" s="81">
        <f>0.17+69.285</f>
        <v>69.455</v>
      </c>
      <c r="B89" s="43" t="s">
        <v>96</v>
      </c>
      <c r="C89" s="43" t="s">
        <v>61</v>
      </c>
      <c r="D89" s="43">
        <v>3</v>
      </c>
      <c r="E89" s="40" t="s">
        <v>46</v>
      </c>
      <c r="F89" s="41">
        <v>17</v>
      </c>
      <c r="G89" s="42">
        <v>19</v>
      </c>
      <c r="H89" s="1"/>
      <c r="I89" s="30"/>
      <c r="J89" s="40">
        <v>270</v>
      </c>
      <c r="K89" s="45">
        <v>24</v>
      </c>
      <c r="L89" s="45">
        <v>180</v>
      </c>
      <c r="M89" s="45">
        <v>8</v>
      </c>
      <c r="N89" s="45"/>
      <c r="O89" s="46"/>
      <c r="P89" s="47">
        <f t="shared" si="11"/>
        <v>-0.12714095420810292</v>
      </c>
      <c r="Q89" s="47">
        <f t="shared" si="12"/>
        <v>-0.40277831002510206</v>
      </c>
      <c r="R89" s="47">
        <f t="shared" si="13"/>
        <v>-0.9046548960473725</v>
      </c>
      <c r="S89" s="48">
        <f t="shared" si="14"/>
        <v>252.48118357830066</v>
      </c>
      <c r="T89" s="48">
        <f>ASIN(R89/SQRT(P89^2+Q89^2+R89^2))*180/PI()</f>
        <v>-64.97290014624396</v>
      </c>
      <c r="U89" s="49">
        <f t="shared" si="15"/>
        <v>252.48118357830066</v>
      </c>
      <c r="V89" s="48">
        <f t="shared" si="16"/>
        <v>162.48118357830066</v>
      </c>
      <c r="W89" s="50">
        <f t="shared" si="17"/>
        <v>25.02709985375604</v>
      </c>
      <c r="X89" s="51"/>
      <c r="Y89" s="52"/>
      <c r="Z89" s="53"/>
      <c r="AA89" s="40">
        <v>0</v>
      </c>
      <c r="AB89" s="43">
        <v>20</v>
      </c>
      <c r="AC89" s="54"/>
      <c r="AD89" s="55"/>
      <c r="AE89" s="49">
        <f t="shared" si="8"/>
        <v>252.48118357830066</v>
      </c>
      <c r="AF89" s="48">
        <f t="shared" si="9"/>
        <v>162.48118357830066</v>
      </c>
      <c r="AG89" s="48">
        <f t="shared" si="10"/>
        <v>25.02709985375604</v>
      </c>
      <c r="AH89" s="56"/>
      <c r="AI89" s="53"/>
    </row>
    <row r="90" spans="1:35" s="39" customFormat="1" ht="21">
      <c r="A90" s="81">
        <f>0.82+69.285</f>
        <v>70.10499999999999</v>
      </c>
      <c r="B90" s="43" t="s">
        <v>96</v>
      </c>
      <c r="C90" s="43" t="s">
        <v>61</v>
      </c>
      <c r="D90" s="43">
        <v>3</v>
      </c>
      <c r="E90" s="40" t="s">
        <v>46</v>
      </c>
      <c r="F90" s="41">
        <v>82</v>
      </c>
      <c r="G90" s="42">
        <v>83</v>
      </c>
      <c r="H90" s="1"/>
      <c r="I90" s="30"/>
      <c r="J90" s="40">
        <v>270</v>
      </c>
      <c r="K90" s="45">
        <v>8</v>
      </c>
      <c r="L90" s="45">
        <v>0</v>
      </c>
      <c r="M90" s="45">
        <v>9</v>
      </c>
      <c r="N90" s="45"/>
      <c r="O90" s="46"/>
      <c r="P90" s="47">
        <f t="shared" si="11"/>
        <v>-0.15491205558001012</v>
      </c>
      <c r="Q90" s="47">
        <f t="shared" si="12"/>
        <v>0.13745964914272663</v>
      </c>
      <c r="R90" s="47">
        <f t="shared" si="13"/>
        <v>0.9780762255597134</v>
      </c>
      <c r="S90" s="48">
        <f t="shared" si="14"/>
        <v>138.41607643764075</v>
      </c>
      <c r="T90" s="48">
        <f>ASIN(R90/SQRT(P90^2+Q90^2+R90^2))*180/PI()</f>
        <v>78.04431351289409</v>
      </c>
      <c r="U90" s="49">
        <f t="shared" si="15"/>
        <v>318.41607643764075</v>
      </c>
      <c r="V90" s="48">
        <f t="shared" si="16"/>
        <v>228.41607643764075</v>
      </c>
      <c r="W90" s="50">
        <f t="shared" si="17"/>
        <v>11.955686487105908</v>
      </c>
      <c r="X90" s="51"/>
      <c r="Y90" s="52"/>
      <c r="Z90" s="53"/>
      <c r="AA90" s="40">
        <v>76</v>
      </c>
      <c r="AB90" s="43">
        <v>142</v>
      </c>
      <c r="AC90" s="54"/>
      <c r="AD90" s="55"/>
      <c r="AE90" s="49">
        <f t="shared" si="8"/>
        <v>318.41607643764075</v>
      </c>
      <c r="AF90" s="48">
        <f t="shared" si="9"/>
        <v>228.41607643764075</v>
      </c>
      <c r="AG90" s="48">
        <f t="shared" si="10"/>
        <v>11.955686487105908</v>
      </c>
      <c r="AH90" s="56"/>
      <c r="AI90" s="53"/>
    </row>
    <row r="91" spans="1:35" s="39" customFormat="1" ht="12.75">
      <c r="A91" s="81">
        <f>70.94</f>
        <v>70.94</v>
      </c>
      <c r="B91" s="43" t="s">
        <v>96</v>
      </c>
      <c r="C91" s="43" t="s">
        <v>61</v>
      </c>
      <c r="D91" s="43">
        <v>5</v>
      </c>
      <c r="E91" s="40" t="s">
        <v>47</v>
      </c>
      <c r="F91" s="41">
        <v>0</v>
      </c>
      <c r="G91" s="42">
        <v>8</v>
      </c>
      <c r="H91" s="1"/>
      <c r="I91" s="30"/>
      <c r="J91" s="40">
        <v>90</v>
      </c>
      <c r="K91" s="45">
        <v>69</v>
      </c>
      <c r="L91" s="45">
        <v>3</v>
      </c>
      <c r="M91" s="45">
        <v>0</v>
      </c>
      <c r="N91" s="45"/>
      <c r="O91" s="46"/>
      <c r="P91" s="47">
        <f t="shared" si="11"/>
        <v>-0.048859824350426385</v>
      </c>
      <c r="Q91" s="47">
        <f t="shared" si="12"/>
        <v>0.9323009869688772</v>
      </c>
      <c r="R91" s="47">
        <f t="shared" si="13"/>
        <v>-0.3578768187253739</v>
      </c>
      <c r="S91" s="48">
        <f t="shared" si="14"/>
        <v>93</v>
      </c>
      <c r="T91" s="48">
        <f>ASIN(R91/SQRT(P91^2+Q91^2+R91^2))*180/PI()</f>
        <v>-20.973724682480945</v>
      </c>
      <c r="U91" s="49">
        <f t="shared" si="15"/>
        <v>93</v>
      </c>
      <c r="V91" s="48">
        <f t="shared" si="16"/>
        <v>3</v>
      </c>
      <c r="W91" s="50">
        <f t="shared" si="17"/>
        <v>69.02627531751905</v>
      </c>
      <c r="X91" s="51"/>
      <c r="Y91" s="52"/>
      <c r="Z91" s="53"/>
      <c r="AA91" s="40">
        <v>0</v>
      </c>
      <c r="AB91" s="43">
        <v>43</v>
      </c>
      <c r="AC91" s="54"/>
      <c r="AD91" s="55"/>
      <c r="AE91" s="49">
        <f t="shared" si="8"/>
        <v>93</v>
      </c>
      <c r="AF91" s="48">
        <f t="shared" si="9"/>
        <v>3</v>
      </c>
      <c r="AG91" s="48">
        <f t="shared" si="10"/>
        <v>69.02627531751905</v>
      </c>
      <c r="AH91" s="56"/>
      <c r="AI91" s="53"/>
    </row>
    <row r="92" spans="1:35" s="39" customFormat="1" ht="21">
      <c r="A92" s="81">
        <f>0.12+70.94</f>
        <v>71.06</v>
      </c>
      <c r="B92" s="43" t="s">
        <v>96</v>
      </c>
      <c r="C92" s="43" t="s">
        <v>61</v>
      </c>
      <c r="D92" s="43">
        <v>5</v>
      </c>
      <c r="E92" s="40" t="s">
        <v>46</v>
      </c>
      <c r="F92" s="41">
        <v>12</v>
      </c>
      <c r="G92" s="42">
        <v>13</v>
      </c>
      <c r="H92" s="1"/>
      <c r="I92" s="30"/>
      <c r="J92" s="40">
        <v>270</v>
      </c>
      <c r="K92" s="45">
        <v>9</v>
      </c>
      <c r="L92" s="45">
        <v>0</v>
      </c>
      <c r="M92" s="45">
        <v>5</v>
      </c>
      <c r="N92" s="45"/>
      <c r="O92" s="46"/>
      <c r="P92" s="47">
        <f t="shared" si="11"/>
        <v>-0.08608271092777121</v>
      </c>
      <c r="Q92" s="47">
        <f t="shared" si="12"/>
        <v>0.15583918467189653</v>
      </c>
      <c r="R92" s="47">
        <f t="shared" si="13"/>
        <v>0.9839298882679104</v>
      </c>
      <c r="S92" s="48">
        <f t="shared" si="14"/>
        <v>118.91545636591997</v>
      </c>
      <c r="T92" s="48">
        <f>ASIN(R92/SQRT(P92^2+Q92^2+R92^2))*180/PI()</f>
        <v>79.74377297772563</v>
      </c>
      <c r="U92" s="49">
        <f t="shared" si="15"/>
        <v>298.91545636591997</v>
      </c>
      <c r="V92" s="48">
        <f t="shared" si="16"/>
        <v>208.91545636591997</v>
      </c>
      <c r="W92" s="50">
        <f t="shared" si="17"/>
        <v>10.256227022274373</v>
      </c>
      <c r="X92" s="51"/>
      <c r="Y92" s="52"/>
      <c r="Z92" s="53"/>
      <c r="AA92" s="40">
        <v>0</v>
      </c>
      <c r="AB92" s="43">
        <v>43</v>
      </c>
      <c r="AC92" s="54"/>
      <c r="AD92" s="55"/>
      <c r="AE92" s="49">
        <f t="shared" si="8"/>
        <v>298.91545636591997</v>
      </c>
      <c r="AF92" s="48">
        <f t="shared" si="9"/>
        <v>208.91545636591997</v>
      </c>
      <c r="AG92" s="48">
        <f t="shared" si="10"/>
        <v>10.256227022274373</v>
      </c>
      <c r="AH92" s="56"/>
      <c r="AI92" s="53"/>
    </row>
    <row r="93" spans="1:35" s="39" customFormat="1" ht="12.75">
      <c r="A93" s="81">
        <f>0.32+71.95</f>
        <v>72.27</v>
      </c>
      <c r="B93" s="43" t="s">
        <v>96</v>
      </c>
      <c r="C93" s="43" t="s">
        <v>61</v>
      </c>
      <c r="D93" s="43">
        <v>6</v>
      </c>
      <c r="E93" s="40" t="s">
        <v>46</v>
      </c>
      <c r="F93" s="41">
        <v>32</v>
      </c>
      <c r="G93" s="42">
        <v>32</v>
      </c>
      <c r="H93" s="1"/>
      <c r="I93" s="30"/>
      <c r="J93" s="40">
        <v>270</v>
      </c>
      <c r="K93" s="45">
        <v>2</v>
      </c>
      <c r="L93" s="45">
        <v>0</v>
      </c>
      <c r="M93" s="45">
        <v>8</v>
      </c>
      <c r="N93" s="45"/>
      <c r="O93" s="46"/>
      <c r="P93" s="47">
        <f t="shared" si="11"/>
        <v>-0.13908832046729191</v>
      </c>
      <c r="Q93" s="47">
        <f t="shared" si="12"/>
        <v>0.034559857199638465</v>
      </c>
      <c r="R93" s="47">
        <f t="shared" si="13"/>
        <v>0.9896648241902408</v>
      </c>
      <c r="S93" s="48">
        <f t="shared" si="14"/>
        <v>166.04606622060126</v>
      </c>
      <c r="T93" s="48">
        <f>ASIN(R93/SQRT(P93^2+Q93^2+R93^2))*180/PI()</f>
        <v>81.76003283137152</v>
      </c>
      <c r="U93" s="49">
        <f t="shared" si="15"/>
        <v>346.04606622060123</v>
      </c>
      <c r="V93" s="48">
        <f t="shared" si="16"/>
        <v>256.04606622060123</v>
      </c>
      <c r="W93" s="50">
        <f t="shared" si="17"/>
        <v>8.239967168628482</v>
      </c>
      <c r="X93" s="51"/>
      <c r="Y93" s="52"/>
      <c r="Z93" s="53"/>
      <c r="AA93" s="40">
        <v>0</v>
      </c>
      <c r="AB93" s="43">
        <v>36</v>
      </c>
      <c r="AC93" s="54"/>
      <c r="AD93" s="55"/>
      <c r="AE93" s="49">
        <f t="shared" si="8"/>
        <v>346.04606622060123</v>
      </c>
      <c r="AF93" s="48">
        <f t="shared" si="9"/>
        <v>256.04606622060123</v>
      </c>
      <c r="AG93" s="48">
        <f t="shared" si="10"/>
        <v>8.239967168628482</v>
      </c>
      <c r="AH93" s="56"/>
      <c r="AI93" s="53"/>
    </row>
    <row r="94" spans="1:36" s="39" customFormat="1" ht="21">
      <c r="A94" s="81">
        <f>71.95+1</f>
        <v>72.95</v>
      </c>
      <c r="B94" s="43" t="s">
        <v>96</v>
      </c>
      <c r="C94" s="43" t="s">
        <v>61</v>
      </c>
      <c r="D94" s="43">
        <v>6</v>
      </c>
      <c r="E94" s="40" t="s">
        <v>47</v>
      </c>
      <c r="F94" s="41">
        <v>100</v>
      </c>
      <c r="G94" s="42">
        <v>107</v>
      </c>
      <c r="H94" s="1"/>
      <c r="I94" s="30"/>
      <c r="J94" s="40">
        <v>270</v>
      </c>
      <c r="K94" s="45">
        <v>45</v>
      </c>
      <c r="L94" s="45">
        <v>140</v>
      </c>
      <c r="M94" s="45">
        <v>0</v>
      </c>
      <c r="N94" s="45"/>
      <c r="O94" s="46"/>
      <c r="P94" s="47">
        <f t="shared" si="11"/>
        <v>-0.45451947767204376</v>
      </c>
      <c r="Q94" s="47">
        <f t="shared" si="12"/>
        <v>-0.5416752204197017</v>
      </c>
      <c r="R94" s="47">
        <f t="shared" si="13"/>
        <v>-0.541675220419702</v>
      </c>
      <c r="S94" s="48">
        <f t="shared" si="14"/>
        <v>230</v>
      </c>
      <c r="T94" s="48">
        <f>ASIN(R94/SQRT(P94^2+Q94^2+R94^2))*180/PI()</f>
        <v>-37.45371955710515</v>
      </c>
      <c r="U94" s="49">
        <f t="shared" si="15"/>
        <v>230</v>
      </c>
      <c r="V94" s="48">
        <f t="shared" si="16"/>
        <v>140</v>
      </c>
      <c r="W94" s="50">
        <f t="shared" si="17"/>
        <v>52.54628044289485</v>
      </c>
      <c r="X94" s="51"/>
      <c r="Y94" s="52"/>
      <c r="Z94" s="53" t="s">
        <v>48</v>
      </c>
      <c r="AA94" s="40">
        <v>83</v>
      </c>
      <c r="AB94" s="43">
        <v>114</v>
      </c>
      <c r="AC94" s="54"/>
      <c r="AD94" s="55"/>
      <c r="AE94" s="49">
        <f t="shared" si="8"/>
        <v>230</v>
      </c>
      <c r="AF94" s="48">
        <f t="shared" si="9"/>
        <v>140</v>
      </c>
      <c r="AG94" s="48">
        <f t="shared" si="10"/>
        <v>52.54628044289485</v>
      </c>
      <c r="AH94" s="56"/>
      <c r="AI94" s="53" t="str">
        <f>Z94</f>
        <v>N</v>
      </c>
      <c r="AJ94" s="39" t="s">
        <v>109</v>
      </c>
    </row>
    <row r="95" spans="1:35" s="39" customFormat="1" ht="12.75">
      <c r="A95" s="81">
        <f>1.08+77.32</f>
        <v>78.39999999999999</v>
      </c>
      <c r="B95" s="43" t="s">
        <v>96</v>
      </c>
      <c r="C95" s="43" t="s">
        <v>62</v>
      </c>
      <c r="D95" s="43">
        <v>2</v>
      </c>
      <c r="E95" s="40" t="s">
        <v>46</v>
      </c>
      <c r="F95" s="41">
        <v>108</v>
      </c>
      <c r="G95" s="42">
        <v>108</v>
      </c>
      <c r="H95" s="1"/>
      <c r="I95" s="30"/>
      <c r="J95" s="40">
        <v>90</v>
      </c>
      <c r="K95" s="45">
        <v>9</v>
      </c>
      <c r="L95" s="45">
        <v>180</v>
      </c>
      <c r="M95" s="45">
        <v>9</v>
      </c>
      <c r="N95" s="45"/>
      <c r="O95" s="46"/>
      <c r="P95" s="47">
        <f t="shared" si="11"/>
        <v>0.1545084971874737</v>
      </c>
      <c r="Q95" s="47">
        <f t="shared" si="12"/>
        <v>-0.15450849718747373</v>
      </c>
      <c r="R95" s="47">
        <f t="shared" si="13"/>
        <v>0.9755282581475768</v>
      </c>
      <c r="S95" s="48">
        <f t="shared" si="14"/>
        <v>315</v>
      </c>
      <c r="T95" s="48">
        <f>ASIN(R95/SQRT(P95^2+Q95^2+R95^2))*180/PI()</f>
        <v>77.37474015373698</v>
      </c>
      <c r="U95" s="49">
        <f t="shared" si="15"/>
        <v>135</v>
      </c>
      <c r="V95" s="48">
        <f t="shared" si="16"/>
        <v>45</v>
      </c>
      <c r="W95" s="50">
        <f t="shared" si="17"/>
        <v>12.62525984626302</v>
      </c>
      <c r="X95" s="51"/>
      <c r="Y95" s="52"/>
      <c r="Z95" s="53"/>
      <c r="AA95" s="40">
        <v>96</v>
      </c>
      <c r="AB95" s="43">
        <v>23</v>
      </c>
      <c r="AC95" s="54"/>
      <c r="AD95" s="55"/>
      <c r="AE95" s="49">
        <f t="shared" si="8"/>
        <v>135</v>
      </c>
      <c r="AF95" s="48">
        <f t="shared" si="9"/>
        <v>45</v>
      </c>
      <c r="AG95" s="48">
        <f t="shared" si="10"/>
        <v>12.62525984626302</v>
      </c>
      <c r="AH95" s="56"/>
      <c r="AI95" s="53"/>
    </row>
    <row r="96" spans="1:35" s="39" customFormat="1" ht="12.75">
      <c r="A96" s="81">
        <f>0.35+79.86</f>
        <v>80.21</v>
      </c>
      <c r="B96" s="43" t="s">
        <v>96</v>
      </c>
      <c r="C96" s="43" t="s">
        <v>62</v>
      </c>
      <c r="D96" s="43">
        <v>4</v>
      </c>
      <c r="E96" s="40" t="s">
        <v>46</v>
      </c>
      <c r="F96" s="41">
        <v>35</v>
      </c>
      <c r="G96" s="42">
        <v>37</v>
      </c>
      <c r="H96" s="1"/>
      <c r="I96" s="30"/>
      <c r="J96" s="40">
        <v>270</v>
      </c>
      <c r="K96" s="45">
        <v>12</v>
      </c>
      <c r="L96" s="45">
        <v>0</v>
      </c>
      <c r="M96" s="45">
        <v>3</v>
      </c>
      <c r="N96" s="45"/>
      <c r="O96" s="46"/>
      <c r="P96" s="47">
        <f t="shared" si="11"/>
        <v>-0.05119229003114494</v>
      </c>
      <c r="Q96" s="47">
        <f t="shared" si="12"/>
        <v>0.2076267550713758</v>
      </c>
      <c r="R96" s="47">
        <f t="shared" si="13"/>
        <v>0.976807083442103</v>
      </c>
      <c r="S96" s="48">
        <f t="shared" si="14"/>
        <v>103.85054801050352</v>
      </c>
      <c r="T96" s="48">
        <f>ASIN(R96/SQRT(P96^2+Q96^2+R96^2))*180/PI()</f>
        <v>77.65150508042849</v>
      </c>
      <c r="U96" s="49">
        <f t="shared" si="15"/>
        <v>283.85054801050353</v>
      </c>
      <c r="V96" s="48">
        <f t="shared" si="16"/>
        <v>193.85054801050353</v>
      </c>
      <c r="W96" s="50">
        <f t="shared" si="17"/>
        <v>12.348494919571507</v>
      </c>
      <c r="X96" s="51"/>
      <c r="Y96" s="52"/>
      <c r="Z96" s="53"/>
      <c r="AA96" s="40">
        <v>27</v>
      </c>
      <c r="AB96" s="43">
        <v>45</v>
      </c>
      <c r="AC96" s="54"/>
      <c r="AD96" s="55"/>
      <c r="AE96" s="49">
        <f t="shared" si="8"/>
        <v>283.85054801050353</v>
      </c>
      <c r="AF96" s="48">
        <f t="shared" si="9"/>
        <v>193.85054801050353</v>
      </c>
      <c r="AG96" s="48">
        <f t="shared" si="10"/>
        <v>12.348494919571507</v>
      </c>
      <c r="AH96" s="56"/>
      <c r="AI96" s="53"/>
    </row>
    <row r="97" spans="1:35" s="39" customFormat="1" ht="12.75">
      <c r="A97" s="81">
        <f>0.55+80.87</f>
        <v>81.42</v>
      </c>
      <c r="B97" s="43" t="s">
        <v>96</v>
      </c>
      <c r="C97" s="43" t="s">
        <v>62</v>
      </c>
      <c r="D97" s="43">
        <v>5</v>
      </c>
      <c r="E97" s="40" t="s">
        <v>46</v>
      </c>
      <c r="F97" s="41">
        <v>5.5</v>
      </c>
      <c r="G97" s="42">
        <v>6</v>
      </c>
      <c r="H97" s="1"/>
      <c r="I97" s="30"/>
      <c r="J97" s="40">
        <v>90</v>
      </c>
      <c r="K97" s="45">
        <v>3</v>
      </c>
      <c r="L97" s="45">
        <v>180</v>
      </c>
      <c r="M97" s="45">
        <v>5</v>
      </c>
      <c r="N97" s="45"/>
      <c r="O97" s="46"/>
      <c r="P97" s="47">
        <f t="shared" si="11"/>
        <v>0.0870362988312832</v>
      </c>
      <c r="Q97" s="47">
        <f t="shared" si="12"/>
        <v>-0.05213680212878224</v>
      </c>
      <c r="R97" s="47">
        <f t="shared" si="13"/>
        <v>0.994829447880333</v>
      </c>
      <c r="S97" s="48">
        <f t="shared" si="14"/>
        <v>329.07739373007206</v>
      </c>
      <c r="T97" s="48">
        <f>ASIN(R97/SQRT(P97^2+Q97^2+R97^2))*180/PI()</f>
        <v>84.17685049823567</v>
      </c>
      <c r="U97" s="49">
        <f t="shared" si="15"/>
        <v>149.07739373007206</v>
      </c>
      <c r="V97" s="48">
        <f t="shared" si="16"/>
        <v>59.07739373007206</v>
      </c>
      <c r="W97" s="50">
        <f t="shared" si="17"/>
        <v>5.823149501764334</v>
      </c>
      <c r="X97" s="51"/>
      <c r="Y97" s="52"/>
      <c r="Z97" s="53"/>
      <c r="AA97" s="40">
        <v>0</v>
      </c>
      <c r="AB97" s="43">
        <v>18</v>
      </c>
      <c r="AC97" s="54"/>
      <c r="AD97" s="55"/>
      <c r="AE97" s="49">
        <f t="shared" si="8"/>
        <v>149.07739373007206</v>
      </c>
      <c r="AF97" s="48">
        <f t="shared" si="9"/>
        <v>59.07739373007206</v>
      </c>
      <c r="AG97" s="48">
        <f t="shared" si="10"/>
        <v>5.823149501764334</v>
      </c>
      <c r="AH97" s="56"/>
      <c r="AI97" s="53"/>
    </row>
    <row r="98" spans="1:35" s="39" customFormat="1" ht="21">
      <c r="A98" s="81">
        <f>0.15+81.51</f>
        <v>81.66000000000001</v>
      </c>
      <c r="B98" s="43" t="s">
        <v>96</v>
      </c>
      <c r="C98" s="43" t="s">
        <v>62</v>
      </c>
      <c r="D98" s="43">
        <v>7</v>
      </c>
      <c r="E98" s="40" t="s">
        <v>46</v>
      </c>
      <c r="F98" s="41">
        <v>15</v>
      </c>
      <c r="G98" s="42">
        <v>15</v>
      </c>
      <c r="H98" s="1"/>
      <c r="I98" s="30"/>
      <c r="J98" s="40">
        <v>90</v>
      </c>
      <c r="K98" s="45">
        <v>0</v>
      </c>
      <c r="L98" s="45">
        <v>180</v>
      </c>
      <c r="M98" s="45">
        <v>4</v>
      </c>
      <c r="N98" s="45"/>
      <c r="O98" s="46"/>
      <c r="P98" s="47">
        <f t="shared" si="11"/>
        <v>0.0697564737441253</v>
      </c>
      <c r="Q98" s="47">
        <f t="shared" si="12"/>
        <v>-4.2713521145274716E-18</v>
      </c>
      <c r="R98" s="47">
        <f t="shared" si="13"/>
        <v>0.9975640502598242</v>
      </c>
      <c r="S98" s="48">
        <f t="shared" si="14"/>
        <v>360</v>
      </c>
      <c r="T98" s="48">
        <f>ASIN(R98/SQRT(P98^2+Q98^2+R98^2))*180/PI()</f>
        <v>86.00000000000006</v>
      </c>
      <c r="U98" s="49">
        <f t="shared" si="15"/>
        <v>180</v>
      </c>
      <c r="V98" s="48">
        <f t="shared" si="16"/>
        <v>90</v>
      </c>
      <c r="W98" s="50">
        <f t="shared" si="17"/>
        <v>3.999999999999943</v>
      </c>
      <c r="X98" s="51"/>
      <c r="Y98" s="52"/>
      <c r="Z98" s="53"/>
      <c r="AA98" s="40">
        <v>0</v>
      </c>
      <c r="AB98" s="43">
        <v>23</v>
      </c>
      <c r="AC98" s="54"/>
      <c r="AD98" s="55"/>
      <c r="AE98" s="49">
        <f t="shared" si="8"/>
        <v>180</v>
      </c>
      <c r="AF98" s="48">
        <f t="shared" si="9"/>
        <v>90</v>
      </c>
      <c r="AG98" s="48">
        <f t="shared" si="10"/>
        <v>3.999999999999943</v>
      </c>
      <c r="AH98" s="56"/>
      <c r="AI98" s="53"/>
    </row>
    <row r="99" spans="1:35" s="39" customFormat="1" ht="12.75">
      <c r="A99" s="81">
        <f>0.2+82.105</f>
        <v>82.305</v>
      </c>
      <c r="B99" s="43" t="s">
        <v>96</v>
      </c>
      <c r="C99" s="43" t="s">
        <v>62</v>
      </c>
      <c r="D99" s="43">
        <v>8</v>
      </c>
      <c r="E99" s="40" t="s">
        <v>46</v>
      </c>
      <c r="F99" s="41">
        <v>20</v>
      </c>
      <c r="G99" s="42">
        <v>20.5</v>
      </c>
      <c r="H99" s="45"/>
      <c r="I99" s="30"/>
      <c r="J99" s="40">
        <v>270</v>
      </c>
      <c r="K99" s="45">
        <v>11</v>
      </c>
      <c r="L99" s="45">
        <v>0</v>
      </c>
      <c r="M99" s="45">
        <v>13</v>
      </c>
      <c r="N99" s="45"/>
      <c r="O99" s="46"/>
      <c r="P99" s="47">
        <f t="shared" si="11"/>
        <v>-0.2208180698891506</v>
      </c>
      <c r="Q99" s="47">
        <f t="shared" si="12"/>
        <v>0.18591857318664964</v>
      </c>
      <c r="R99" s="47">
        <f t="shared" si="13"/>
        <v>0.9564681423308483</v>
      </c>
      <c r="S99" s="48">
        <f t="shared" si="14"/>
        <v>139.9041764061025</v>
      </c>
      <c r="T99" s="48">
        <f>ASIN(R99/SQRT(P99^2+Q99^2+R99^2))*180/PI()</f>
        <v>73.20613481592667</v>
      </c>
      <c r="U99" s="49">
        <f t="shared" si="15"/>
        <v>319.90417640610247</v>
      </c>
      <c r="V99" s="48">
        <f t="shared" si="16"/>
        <v>229.90417640610247</v>
      </c>
      <c r="W99" s="50">
        <f t="shared" si="17"/>
        <v>16.793865184073326</v>
      </c>
      <c r="X99" s="51"/>
      <c r="Y99" s="52"/>
      <c r="Z99" s="53"/>
      <c r="AA99" s="40">
        <v>0</v>
      </c>
      <c r="AB99" s="43">
        <v>78.5</v>
      </c>
      <c r="AC99" s="54"/>
      <c r="AD99" s="55"/>
      <c r="AE99" s="49">
        <f t="shared" si="8"/>
        <v>319.90417640610247</v>
      </c>
      <c r="AF99" s="48">
        <f t="shared" si="9"/>
        <v>229.90417640610247</v>
      </c>
      <c r="AG99" s="48">
        <f t="shared" si="10"/>
        <v>16.793865184073326</v>
      </c>
      <c r="AH99" s="56"/>
      <c r="AI99" s="53"/>
    </row>
    <row r="100" spans="1:35" s="39" customFormat="1" ht="12.75">
      <c r="A100" s="81">
        <f>1.14+83.525</f>
        <v>84.665</v>
      </c>
      <c r="B100" s="43" t="s">
        <v>96</v>
      </c>
      <c r="C100" s="43" t="s">
        <v>62</v>
      </c>
      <c r="D100" s="43">
        <v>10</v>
      </c>
      <c r="E100" s="40" t="s">
        <v>46</v>
      </c>
      <c r="F100" s="41">
        <v>114</v>
      </c>
      <c r="G100" s="42">
        <v>115</v>
      </c>
      <c r="H100" s="1"/>
      <c r="I100" s="30"/>
      <c r="J100" s="40">
        <v>270</v>
      </c>
      <c r="K100" s="45">
        <v>4</v>
      </c>
      <c r="L100" s="45">
        <v>0</v>
      </c>
      <c r="M100" s="45">
        <v>12</v>
      </c>
      <c r="N100" s="45"/>
      <c r="O100" s="46"/>
      <c r="P100" s="47">
        <f t="shared" si="11"/>
        <v>-0.2074052283885323</v>
      </c>
      <c r="Q100" s="47">
        <f t="shared" si="12"/>
        <v>0.06823212742846692</v>
      </c>
      <c r="R100" s="47">
        <f t="shared" si="13"/>
        <v>0.9757648823399446</v>
      </c>
      <c r="S100" s="48">
        <f t="shared" si="14"/>
        <v>161.78983956789773</v>
      </c>
      <c r="T100" s="48">
        <f>ASIN(R100/SQRT(P100^2+Q100^2+R100^2))*180/PI()</f>
        <v>77.38707326251307</v>
      </c>
      <c r="U100" s="49">
        <f t="shared" si="15"/>
        <v>341.78983956789773</v>
      </c>
      <c r="V100" s="48">
        <f t="shared" si="16"/>
        <v>251.78983956789773</v>
      </c>
      <c r="W100" s="50">
        <f t="shared" si="17"/>
        <v>12.61292673748693</v>
      </c>
      <c r="X100" s="51"/>
      <c r="Y100" s="52"/>
      <c r="Z100" s="53"/>
      <c r="AA100" s="40">
        <v>56</v>
      </c>
      <c r="AB100" s="43">
        <v>130</v>
      </c>
      <c r="AC100" s="54"/>
      <c r="AD100" s="55"/>
      <c r="AE100" s="49">
        <f t="shared" si="8"/>
        <v>341.78983956789773</v>
      </c>
      <c r="AF100" s="48">
        <f aca="true" t="shared" si="18" ref="AF100:AF159">IF(AE100-90&lt;0,AE100+270,AE100-90)</f>
        <v>251.78983956789773</v>
      </c>
      <c r="AG100" s="48">
        <f t="shared" si="10"/>
        <v>12.61292673748693</v>
      </c>
      <c r="AH100" s="56"/>
      <c r="AI100" s="53"/>
    </row>
    <row r="101" spans="1:35" s="39" customFormat="1" ht="21">
      <c r="A101" s="81">
        <f>0.97+83.525</f>
        <v>84.495</v>
      </c>
      <c r="B101" s="43" t="s">
        <v>96</v>
      </c>
      <c r="C101" s="43" t="s">
        <v>62</v>
      </c>
      <c r="D101" s="43">
        <v>10</v>
      </c>
      <c r="E101" s="40" t="s">
        <v>47</v>
      </c>
      <c r="F101" s="41">
        <v>97</v>
      </c>
      <c r="G101" s="42">
        <v>104</v>
      </c>
      <c r="H101" s="1"/>
      <c r="I101" s="30"/>
      <c r="J101" s="40">
        <v>270</v>
      </c>
      <c r="K101" s="45">
        <v>63</v>
      </c>
      <c r="L101" s="45">
        <v>37</v>
      </c>
      <c r="M101" s="45">
        <v>0</v>
      </c>
      <c r="N101" s="45"/>
      <c r="O101" s="46"/>
      <c r="P101" s="47">
        <f t="shared" si="11"/>
        <v>-0.5362211119830486</v>
      </c>
      <c r="Q101" s="47">
        <f t="shared" si="12"/>
        <v>0.7115894499006427</v>
      </c>
      <c r="R101" s="47">
        <f t="shared" si="13"/>
        <v>0.36257293431611826</v>
      </c>
      <c r="S101" s="48">
        <f t="shared" si="14"/>
        <v>127</v>
      </c>
      <c r="T101" s="48">
        <f>ASIN(R101/SQRT(P101^2+Q101^2+R101^2))*180/PI()</f>
        <v>22.142642303855258</v>
      </c>
      <c r="U101" s="49">
        <f t="shared" si="15"/>
        <v>307</v>
      </c>
      <c r="V101" s="48">
        <f t="shared" si="16"/>
        <v>217</v>
      </c>
      <c r="W101" s="50">
        <f t="shared" si="17"/>
        <v>67.85735769614475</v>
      </c>
      <c r="X101" s="51"/>
      <c r="Y101" s="52"/>
      <c r="Z101" s="53" t="s">
        <v>48</v>
      </c>
      <c r="AA101" s="40">
        <v>56</v>
      </c>
      <c r="AB101" s="43">
        <v>130</v>
      </c>
      <c r="AC101" s="54"/>
      <c r="AD101" s="55"/>
      <c r="AE101" s="49">
        <f aca="true" t="shared" si="19" ref="AE101:AE160">IF(AD101&gt;=0,IF(U101&gt;=AC101,U101-AC101,U101-AC101+360),IF((U101-AC101-180)&lt;0,IF(U101-AC101+180&lt;0,U101-AC101+540,U101-AC101+180),U101-AC101-180))</f>
        <v>307</v>
      </c>
      <c r="AF101" s="48">
        <f t="shared" si="18"/>
        <v>217</v>
      </c>
      <c r="AG101" s="48">
        <f aca="true" t="shared" si="20" ref="AG101:AG160">W101</f>
        <v>67.85735769614475</v>
      </c>
      <c r="AH101" s="56"/>
      <c r="AI101" s="53" t="str">
        <f>Z101</f>
        <v>N</v>
      </c>
    </row>
    <row r="102" spans="1:35" s="39" customFormat="1" ht="21">
      <c r="A102" s="81">
        <f>0.25+82.51</f>
        <v>82.76</v>
      </c>
      <c r="B102" s="43" t="s">
        <v>96</v>
      </c>
      <c r="C102" s="43" t="s">
        <v>63</v>
      </c>
      <c r="D102" s="43">
        <v>1</v>
      </c>
      <c r="E102" s="40" t="s">
        <v>46</v>
      </c>
      <c r="F102" s="41">
        <v>25</v>
      </c>
      <c r="G102" s="42">
        <v>25</v>
      </c>
      <c r="H102" s="1"/>
      <c r="I102" s="30"/>
      <c r="J102" s="40">
        <v>270</v>
      </c>
      <c r="K102" s="45">
        <v>3</v>
      </c>
      <c r="L102" s="45">
        <v>180</v>
      </c>
      <c r="M102" s="45">
        <v>2</v>
      </c>
      <c r="N102" s="45"/>
      <c r="O102" s="46"/>
      <c r="P102" s="47">
        <f t="shared" si="11"/>
        <v>-0.03485166815518733</v>
      </c>
      <c r="Q102" s="47">
        <f t="shared" si="12"/>
        <v>-0.052304074592470835</v>
      </c>
      <c r="R102" s="47">
        <f t="shared" si="13"/>
        <v>-0.9980211966240684</v>
      </c>
      <c r="S102" s="48">
        <f t="shared" si="14"/>
        <v>236.32336918625154</v>
      </c>
      <c r="T102" s="48">
        <f>ASIN(R102/SQRT(P102^2+Q102^2+R102^2))*180/PI()</f>
        <v>-86.39647307521291</v>
      </c>
      <c r="U102" s="49">
        <f t="shared" si="15"/>
        <v>236.32336918625154</v>
      </c>
      <c r="V102" s="48">
        <f t="shared" si="16"/>
        <v>146.32336918625154</v>
      </c>
      <c r="W102" s="50">
        <f t="shared" si="17"/>
        <v>3.60352692478709</v>
      </c>
      <c r="X102" s="51"/>
      <c r="Y102" s="52"/>
      <c r="Z102" s="53"/>
      <c r="AA102" s="40">
        <v>0</v>
      </c>
      <c r="AB102" s="43">
        <v>25</v>
      </c>
      <c r="AC102" s="54"/>
      <c r="AD102" s="55"/>
      <c r="AE102" s="49">
        <f t="shared" si="19"/>
        <v>236.32336918625154</v>
      </c>
      <c r="AF102" s="48">
        <f t="shared" si="18"/>
        <v>146.32336918625154</v>
      </c>
      <c r="AG102" s="48">
        <f t="shared" si="20"/>
        <v>3.60352692478709</v>
      </c>
      <c r="AH102" s="56"/>
      <c r="AI102" s="53"/>
    </row>
    <row r="103" spans="1:35" s="39" customFormat="1" ht="21">
      <c r="A103" s="81">
        <f>0.68+84.22</f>
        <v>84.9</v>
      </c>
      <c r="B103" s="43" t="s">
        <v>96</v>
      </c>
      <c r="C103" s="43" t="s">
        <v>63</v>
      </c>
      <c r="D103" s="43">
        <v>5</v>
      </c>
      <c r="E103" s="40" t="s">
        <v>46</v>
      </c>
      <c r="F103" s="41">
        <v>68</v>
      </c>
      <c r="G103" s="42">
        <v>69</v>
      </c>
      <c r="H103" s="1"/>
      <c r="I103" s="30"/>
      <c r="J103" s="40">
        <v>90</v>
      </c>
      <c r="K103" s="45">
        <v>5</v>
      </c>
      <c r="L103" s="45">
        <v>180</v>
      </c>
      <c r="M103" s="45">
        <v>1</v>
      </c>
      <c r="N103" s="45"/>
      <c r="O103" s="46"/>
      <c r="P103" s="47">
        <f t="shared" si="11"/>
        <v>0.017385994761764074</v>
      </c>
      <c r="Q103" s="47">
        <f t="shared" si="12"/>
        <v>-0.08714246850588939</v>
      </c>
      <c r="R103" s="47">
        <f t="shared" si="13"/>
        <v>0.9960429728140489</v>
      </c>
      <c r="S103" s="48">
        <f t="shared" si="14"/>
        <v>281.28306182052995</v>
      </c>
      <c r="T103" s="48">
        <f>ASIN(R103/SQRT(P103^2+Q103^2+R103^2))*180/PI()</f>
        <v>84.90197245232007</v>
      </c>
      <c r="U103" s="49">
        <f t="shared" si="15"/>
        <v>101.28306182052995</v>
      </c>
      <c r="V103" s="48">
        <f t="shared" si="16"/>
        <v>11.283061820529952</v>
      </c>
      <c r="W103" s="50">
        <f t="shared" si="17"/>
        <v>5.0980275476799335</v>
      </c>
      <c r="X103" s="51"/>
      <c r="Y103" s="52"/>
      <c r="Z103" s="53"/>
      <c r="AA103" s="40">
        <v>64</v>
      </c>
      <c r="AB103" s="43">
        <v>79</v>
      </c>
      <c r="AC103" s="54"/>
      <c r="AD103" s="55"/>
      <c r="AE103" s="49">
        <f t="shared" si="19"/>
        <v>101.28306182052995</v>
      </c>
      <c r="AF103" s="48">
        <f t="shared" si="18"/>
        <v>11.283061820529952</v>
      </c>
      <c r="AG103" s="48">
        <f t="shared" si="20"/>
        <v>5.0980275476799335</v>
      </c>
      <c r="AH103" s="56"/>
      <c r="AI103" s="53"/>
    </row>
    <row r="104" spans="1:35" s="39" customFormat="1" ht="12.75">
      <c r="A104" s="81">
        <f>0.93+85.445</f>
        <v>86.375</v>
      </c>
      <c r="B104" s="43" t="s">
        <v>96</v>
      </c>
      <c r="C104" s="43" t="s">
        <v>63</v>
      </c>
      <c r="D104" s="43">
        <v>8</v>
      </c>
      <c r="E104" s="40" t="s">
        <v>46</v>
      </c>
      <c r="F104" s="41">
        <v>93</v>
      </c>
      <c r="G104" s="42">
        <v>93</v>
      </c>
      <c r="H104" s="1"/>
      <c r="I104" s="30"/>
      <c r="J104" s="40">
        <v>90</v>
      </c>
      <c r="K104" s="45">
        <v>4</v>
      </c>
      <c r="L104" s="45">
        <v>0</v>
      </c>
      <c r="M104" s="45">
        <v>8</v>
      </c>
      <c r="N104" s="45"/>
      <c r="O104" s="46"/>
      <c r="P104" s="47">
        <f t="shared" si="11"/>
        <v>0.1388340822809423</v>
      </c>
      <c r="Q104" s="47">
        <f t="shared" si="12"/>
        <v>0.069077608536817</v>
      </c>
      <c r="R104" s="47">
        <f t="shared" si="13"/>
        <v>-0.9878558254968149</v>
      </c>
      <c r="S104" s="48">
        <f t="shared" si="14"/>
        <v>26.45287659685856</v>
      </c>
      <c r="T104" s="48">
        <f>ASIN(R104/SQRT(P104^2+Q104^2+R104^2))*180/PI()</f>
        <v>-81.07873627708044</v>
      </c>
      <c r="U104" s="49">
        <f t="shared" si="15"/>
        <v>26.45287659685856</v>
      </c>
      <c r="V104" s="48">
        <f t="shared" si="16"/>
        <v>296.4528765968586</v>
      </c>
      <c r="W104" s="50">
        <f t="shared" si="17"/>
        <v>8.921263722919562</v>
      </c>
      <c r="X104" s="51"/>
      <c r="Y104" s="52"/>
      <c r="Z104" s="53"/>
      <c r="AA104" s="40">
        <v>51</v>
      </c>
      <c r="AB104" s="43">
        <v>112</v>
      </c>
      <c r="AC104" s="54"/>
      <c r="AD104" s="55"/>
      <c r="AE104" s="49">
        <f t="shared" si="19"/>
        <v>26.45287659685856</v>
      </c>
      <c r="AF104" s="48">
        <f t="shared" si="18"/>
        <v>296.4528765968586</v>
      </c>
      <c r="AG104" s="48">
        <f t="shared" si="20"/>
        <v>8.921263722919562</v>
      </c>
      <c r="AH104" s="56"/>
      <c r="AI104" s="53"/>
    </row>
    <row r="105" spans="1:35" s="39" customFormat="1" ht="12.75">
      <c r="A105" s="81">
        <f>1.29+85.445</f>
        <v>86.735</v>
      </c>
      <c r="B105" s="43" t="s">
        <v>96</v>
      </c>
      <c r="C105" s="43" t="s">
        <v>63</v>
      </c>
      <c r="D105" s="43">
        <v>8</v>
      </c>
      <c r="E105" s="40" t="s">
        <v>46</v>
      </c>
      <c r="F105" s="41">
        <v>129</v>
      </c>
      <c r="G105" s="42">
        <v>129</v>
      </c>
      <c r="H105" s="1"/>
      <c r="I105" s="30"/>
      <c r="J105" s="40">
        <v>90</v>
      </c>
      <c r="K105" s="45">
        <v>6</v>
      </c>
      <c r="L105" s="45">
        <v>0</v>
      </c>
      <c r="M105" s="45">
        <v>4</v>
      </c>
      <c r="N105" s="45"/>
      <c r="O105" s="46"/>
      <c r="P105" s="47">
        <f t="shared" si="11"/>
        <v>0.06937434048221469</v>
      </c>
      <c r="Q105" s="47">
        <f t="shared" si="12"/>
        <v>0.10427383718471564</v>
      </c>
      <c r="R105" s="47">
        <f t="shared" si="13"/>
        <v>-0.9920992900156518</v>
      </c>
      <c r="S105" s="48">
        <f t="shared" si="14"/>
        <v>56.36381294147464</v>
      </c>
      <c r="T105" s="48">
        <f>ASIN(R105/SQRT(P105^2+Q105^2+R105^2))*180/PI()</f>
        <v>-82.80501343661278</v>
      </c>
      <c r="U105" s="49">
        <f t="shared" si="15"/>
        <v>56.36381294147464</v>
      </c>
      <c r="V105" s="48">
        <f t="shared" si="16"/>
        <v>326.36381294147463</v>
      </c>
      <c r="W105" s="50">
        <f t="shared" si="17"/>
        <v>7.194986563387218</v>
      </c>
      <c r="X105" s="51"/>
      <c r="Y105" s="52"/>
      <c r="Z105" s="53"/>
      <c r="AA105" s="40">
        <v>125</v>
      </c>
      <c r="AB105" s="43">
        <v>134</v>
      </c>
      <c r="AC105" s="54"/>
      <c r="AD105" s="55"/>
      <c r="AE105" s="49">
        <f t="shared" si="19"/>
        <v>56.36381294147464</v>
      </c>
      <c r="AF105" s="48">
        <f t="shared" si="18"/>
        <v>326.36381294147463</v>
      </c>
      <c r="AG105" s="48">
        <f t="shared" si="20"/>
        <v>7.194986563387218</v>
      </c>
      <c r="AH105" s="56"/>
      <c r="AI105" s="53"/>
    </row>
    <row r="106" spans="1:35" s="39" customFormat="1" ht="12.75">
      <c r="A106" s="81">
        <f>0.14+86.79</f>
        <v>86.93</v>
      </c>
      <c r="B106" s="43" t="s">
        <v>96</v>
      </c>
      <c r="C106" s="43" t="s">
        <v>63</v>
      </c>
      <c r="D106" s="43">
        <v>9</v>
      </c>
      <c r="E106" s="40" t="s">
        <v>46</v>
      </c>
      <c r="F106" s="41">
        <v>14</v>
      </c>
      <c r="G106" s="42">
        <v>14</v>
      </c>
      <c r="H106" s="1"/>
      <c r="I106" s="30"/>
      <c r="J106" s="40">
        <v>90</v>
      </c>
      <c r="K106" s="45">
        <v>0</v>
      </c>
      <c r="L106" s="45">
        <v>0</v>
      </c>
      <c r="M106" s="45">
        <v>4</v>
      </c>
      <c r="N106" s="45"/>
      <c r="O106" s="46"/>
      <c r="P106" s="47">
        <f t="shared" si="11"/>
        <v>0.0697564737441253</v>
      </c>
      <c r="Q106" s="47">
        <f t="shared" si="12"/>
        <v>-4.2713521145274716E-18</v>
      </c>
      <c r="R106" s="47">
        <f t="shared" si="13"/>
        <v>-0.9975640502598242</v>
      </c>
      <c r="S106" s="48">
        <f t="shared" si="14"/>
        <v>360</v>
      </c>
      <c r="T106" s="48">
        <f>ASIN(R106/SQRT(P106^2+Q106^2+R106^2))*180/PI()</f>
        <v>-86.00000000000014</v>
      </c>
      <c r="U106" s="49">
        <f t="shared" si="15"/>
        <v>360</v>
      </c>
      <c r="V106" s="48">
        <f t="shared" si="16"/>
        <v>270</v>
      </c>
      <c r="W106" s="50">
        <f t="shared" si="17"/>
        <v>3.999999999999858</v>
      </c>
      <c r="X106" s="51"/>
      <c r="Y106" s="52"/>
      <c r="Z106" s="53"/>
      <c r="AA106" s="40">
        <v>0</v>
      </c>
      <c r="AB106" s="43">
        <v>71</v>
      </c>
      <c r="AC106" s="54"/>
      <c r="AD106" s="55"/>
      <c r="AE106" s="49">
        <f t="shared" si="19"/>
        <v>360</v>
      </c>
      <c r="AF106" s="48">
        <f t="shared" si="18"/>
        <v>270</v>
      </c>
      <c r="AG106" s="48">
        <f t="shared" si="20"/>
        <v>3.999999999999858</v>
      </c>
      <c r="AH106" s="56"/>
      <c r="AI106" s="53"/>
    </row>
    <row r="107" spans="1:35" s="39" customFormat="1" ht="12.75">
      <c r="A107" s="81">
        <f>0.385+86.79</f>
        <v>87.17500000000001</v>
      </c>
      <c r="B107" s="43" t="s">
        <v>96</v>
      </c>
      <c r="C107" s="43" t="s">
        <v>63</v>
      </c>
      <c r="D107" s="43">
        <v>9</v>
      </c>
      <c r="E107" s="40" t="s">
        <v>46</v>
      </c>
      <c r="F107" s="41">
        <v>38.5</v>
      </c>
      <c r="G107" s="42">
        <v>38.5</v>
      </c>
      <c r="H107" s="1"/>
      <c r="I107" s="30"/>
      <c r="J107" s="40">
        <v>90</v>
      </c>
      <c r="K107" s="45">
        <v>3</v>
      </c>
      <c r="L107" s="45">
        <v>0</v>
      </c>
      <c r="M107" s="45">
        <v>11</v>
      </c>
      <c r="N107" s="45"/>
      <c r="O107" s="46"/>
      <c r="P107" s="47">
        <f t="shared" si="11"/>
        <v>0.19054749827986656</v>
      </c>
      <c r="Q107" s="47">
        <f t="shared" si="12"/>
        <v>0.05137439731980112</v>
      </c>
      <c r="R107" s="47">
        <f t="shared" si="13"/>
        <v>-0.9802818975087834</v>
      </c>
      <c r="S107" s="48">
        <f t="shared" si="14"/>
        <v>15.088994462454663</v>
      </c>
      <c r="T107" s="48">
        <f>ASIN(R107/SQRT(P107^2+Q107^2+R107^2))*180/PI()</f>
        <v>-78.61729094584817</v>
      </c>
      <c r="U107" s="49">
        <f t="shared" si="15"/>
        <v>15.088994462454663</v>
      </c>
      <c r="V107" s="48">
        <f t="shared" si="16"/>
        <v>285.08899446245465</v>
      </c>
      <c r="W107" s="50">
        <f t="shared" si="17"/>
        <v>11.382709054151832</v>
      </c>
      <c r="X107" s="51"/>
      <c r="Y107" s="52"/>
      <c r="Z107" s="53"/>
      <c r="AA107" s="40">
        <v>0</v>
      </c>
      <c r="AB107" s="43">
        <v>71</v>
      </c>
      <c r="AC107" s="54"/>
      <c r="AD107" s="55"/>
      <c r="AE107" s="49">
        <f t="shared" si="19"/>
        <v>15.088994462454663</v>
      </c>
      <c r="AF107" s="48">
        <f t="shared" si="18"/>
        <v>285.08899446245465</v>
      </c>
      <c r="AG107" s="48">
        <f t="shared" si="20"/>
        <v>11.382709054151832</v>
      </c>
      <c r="AH107" s="56"/>
      <c r="AI107" s="53"/>
    </row>
    <row r="108" spans="1:35" s="39" customFormat="1" ht="21">
      <c r="A108" s="81">
        <f>1.08+86.79</f>
        <v>87.87</v>
      </c>
      <c r="B108" s="43" t="s">
        <v>96</v>
      </c>
      <c r="C108" s="43" t="s">
        <v>63</v>
      </c>
      <c r="D108" s="43">
        <v>9</v>
      </c>
      <c r="E108" s="40" t="s">
        <v>46</v>
      </c>
      <c r="F108" s="41">
        <v>108</v>
      </c>
      <c r="G108" s="42">
        <v>109</v>
      </c>
      <c r="H108" s="1"/>
      <c r="I108" s="30"/>
      <c r="J108" s="40">
        <v>90</v>
      </c>
      <c r="K108" s="45">
        <v>12</v>
      </c>
      <c r="L108" s="45">
        <v>0</v>
      </c>
      <c r="M108" s="45">
        <v>6</v>
      </c>
      <c r="N108" s="45"/>
      <c r="O108" s="46"/>
      <c r="P108" s="47">
        <f t="shared" si="11"/>
        <v>0.10224426555364696</v>
      </c>
      <c r="Q108" s="47">
        <f t="shared" si="12"/>
        <v>0.2067727288213004</v>
      </c>
      <c r="R108" s="47">
        <f t="shared" si="13"/>
        <v>-0.9727892058317135</v>
      </c>
      <c r="S108" s="48">
        <f t="shared" si="14"/>
        <v>63.68868407032484</v>
      </c>
      <c r="T108" s="48">
        <f>ASIN(R108/SQRT(P108^2+Q108^2+R108^2))*180/PI()</f>
        <v>-76.66024474081819</v>
      </c>
      <c r="U108" s="49">
        <f t="shared" si="15"/>
        <v>63.68868407032484</v>
      </c>
      <c r="V108" s="48">
        <f t="shared" si="16"/>
        <v>333.6886840703248</v>
      </c>
      <c r="W108" s="50">
        <f t="shared" si="17"/>
        <v>13.339755259181814</v>
      </c>
      <c r="X108" s="51"/>
      <c r="Y108" s="52"/>
      <c r="Z108" s="53"/>
      <c r="AA108" s="40">
        <v>78</v>
      </c>
      <c r="AB108" s="43">
        <v>122</v>
      </c>
      <c r="AC108" s="54"/>
      <c r="AD108" s="55"/>
      <c r="AE108" s="49">
        <f t="shared" si="19"/>
        <v>63.68868407032484</v>
      </c>
      <c r="AF108" s="48">
        <f t="shared" si="18"/>
        <v>333.6886840703248</v>
      </c>
      <c r="AG108" s="48">
        <f t="shared" si="20"/>
        <v>13.339755259181814</v>
      </c>
      <c r="AH108" s="56"/>
      <c r="AI108" s="53"/>
    </row>
    <row r="109" spans="1:35" s="39" customFormat="1" ht="21">
      <c r="A109" s="81">
        <f>88.33+0.13</f>
        <v>88.46</v>
      </c>
      <c r="B109" s="43" t="s">
        <v>96</v>
      </c>
      <c r="C109" s="43" t="s">
        <v>63</v>
      </c>
      <c r="D109" s="43">
        <v>11</v>
      </c>
      <c r="E109" s="40" t="s">
        <v>46</v>
      </c>
      <c r="F109" s="41">
        <v>13</v>
      </c>
      <c r="G109" s="42">
        <v>13</v>
      </c>
      <c r="H109" s="1"/>
      <c r="I109" s="30"/>
      <c r="J109" s="40">
        <v>90</v>
      </c>
      <c r="K109" s="45">
        <v>8</v>
      </c>
      <c r="L109" s="45">
        <v>0</v>
      </c>
      <c r="M109" s="45">
        <v>8</v>
      </c>
      <c r="N109" s="45"/>
      <c r="O109" s="46"/>
      <c r="P109" s="47">
        <f t="shared" si="11"/>
        <v>0.13781867790849958</v>
      </c>
      <c r="Q109" s="47">
        <f t="shared" si="12"/>
        <v>0.13781867790849958</v>
      </c>
      <c r="R109" s="47">
        <f t="shared" si="13"/>
        <v>-0.9806308479691596</v>
      </c>
      <c r="S109" s="48">
        <f t="shared" si="14"/>
        <v>45</v>
      </c>
      <c r="T109" s="48">
        <f>ASIN(R109/SQRT(P109^2+Q109^2+R109^2))*180/PI()</f>
        <v>-78.75868710958437</v>
      </c>
      <c r="U109" s="49">
        <f t="shared" si="15"/>
        <v>45</v>
      </c>
      <c r="V109" s="48">
        <f t="shared" si="16"/>
        <v>315</v>
      </c>
      <c r="W109" s="50">
        <f t="shared" si="17"/>
        <v>11.241312890415628</v>
      </c>
      <c r="X109" s="51"/>
      <c r="Y109" s="52"/>
      <c r="Z109" s="53"/>
      <c r="AA109" s="40">
        <v>0</v>
      </c>
      <c r="AB109" s="43">
        <v>21</v>
      </c>
      <c r="AC109" s="54"/>
      <c r="AD109" s="55"/>
      <c r="AE109" s="49">
        <f t="shared" si="19"/>
        <v>45</v>
      </c>
      <c r="AF109" s="48">
        <f t="shared" si="18"/>
        <v>315</v>
      </c>
      <c r="AG109" s="48">
        <f t="shared" si="20"/>
        <v>11.241312890415628</v>
      </c>
      <c r="AH109" s="56"/>
      <c r="AI109" s="53"/>
    </row>
    <row r="110" spans="1:35" s="39" customFormat="1" ht="12.75">
      <c r="A110" s="81">
        <f>0.51+88.33</f>
        <v>88.84</v>
      </c>
      <c r="B110" s="43" t="s">
        <v>96</v>
      </c>
      <c r="C110" s="43" t="s">
        <v>63</v>
      </c>
      <c r="D110" s="43">
        <v>11</v>
      </c>
      <c r="E110" s="40" t="s">
        <v>46</v>
      </c>
      <c r="F110" s="41">
        <v>51</v>
      </c>
      <c r="G110" s="42">
        <v>52</v>
      </c>
      <c r="H110" s="1"/>
      <c r="I110" s="30"/>
      <c r="J110" s="40">
        <v>90</v>
      </c>
      <c r="K110" s="45">
        <v>16</v>
      </c>
      <c r="L110" s="45">
        <v>0</v>
      </c>
      <c r="M110" s="45">
        <v>12</v>
      </c>
      <c r="N110" s="45"/>
      <c r="O110" s="46"/>
      <c r="P110" s="47">
        <f t="shared" si="11"/>
        <v>0.19985754452088272</v>
      </c>
      <c r="Q110" s="47">
        <f t="shared" si="12"/>
        <v>0.269614018265008</v>
      </c>
      <c r="R110" s="47">
        <f t="shared" si="13"/>
        <v>-0.9402558215593757</v>
      </c>
      <c r="S110" s="48">
        <f t="shared" si="14"/>
        <v>53.451464650201096</v>
      </c>
      <c r="T110" s="48">
        <f>ASIN(R110/SQRT(P110^2+Q110^2+R110^2))*180/PI()</f>
        <v>-70.35669505747964</v>
      </c>
      <c r="U110" s="49">
        <f t="shared" si="15"/>
        <v>53.451464650201096</v>
      </c>
      <c r="V110" s="48">
        <f t="shared" si="16"/>
        <v>323.4514646502011</v>
      </c>
      <c r="W110" s="50">
        <f t="shared" si="17"/>
        <v>19.64330494252036</v>
      </c>
      <c r="X110" s="51"/>
      <c r="Y110" s="52"/>
      <c r="Z110" s="53"/>
      <c r="AA110" s="40">
        <v>24</v>
      </c>
      <c r="AB110" s="43">
        <v>152</v>
      </c>
      <c r="AC110" s="54"/>
      <c r="AD110" s="55"/>
      <c r="AE110" s="49">
        <f t="shared" si="19"/>
        <v>53.451464650201096</v>
      </c>
      <c r="AF110" s="48">
        <f t="shared" si="18"/>
        <v>323.4514646502011</v>
      </c>
      <c r="AG110" s="48">
        <f t="shared" si="20"/>
        <v>19.64330494252036</v>
      </c>
      <c r="AH110" s="56"/>
      <c r="AI110" s="53"/>
    </row>
    <row r="111" spans="1:35" s="39" customFormat="1" ht="12.75">
      <c r="A111" s="81">
        <f>88.33+0.67</f>
        <v>89</v>
      </c>
      <c r="B111" s="43" t="s">
        <v>96</v>
      </c>
      <c r="C111" s="43" t="s">
        <v>63</v>
      </c>
      <c r="D111" s="43">
        <v>11</v>
      </c>
      <c r="E111" s="40" t="s">
        <v>46</v>
      </c>
      <c r="F111" s="41">
        <v>67</v>
      </c>
      <c r="G111" s="42">
        <v>68</v>
      </c>
      <c r="H111" s="1"/>
      <c r="I111" s="30"/>
      <c r="J111" s="40">
        <v>90</v>
      </c>
      <c r="K111" s="45">
        <v>9</v>
      </c>
      <c r="L111" s="45">
        <v>0</v>
      </c>
      <c r="M111" s="45">
        <v>16</v>
      </c>
      <c r="N111" s="45"/>
      <c r="O111" s="46"/>
      <c r="P111" s="47">
        <f t="shared" si="11"/>
        <v>0.27224380257292347</v>
      </c>
      <c r="Q111" s="47">
        <f t="shared" si="12"/>
        <v>0.15037445916777595</v>
      </c>
      <c r="R111" s="47">
        <f t="shared" si="13"/>
        <v>-0.9494269693389861</v>
      </c>
      <c r="S111" s="48">
        <f t="shared" si="14"/>
        <v>28.914161414675338</v>
      </c>
      <c r="T111" s="48">
        <f>ASIN(R111/SQRT(P111^2+Q111^2+R111^2))*180/PI()</f>
        <v>-71.86224763411478</v>
      </c>
      <c r="U111" s="49">
        <f t="shared" si="15"/>
        <v>28.914161414675338</v>
      </c>
      <c r="V111" s="48">
        <f t="shared" si="16"/>
        <v>298.91416141467533</v>
      </c>
      <c r="W111" s="50">
        <f t="shared" si="17"/>
        <v>18.13775236588522</v>
      </c>
      <c r="X111" s="51"/>
      <c r="Y111" s="52"/>
      <c r="Z111" s="53"/>
      <c r="AA111" s="40">
        <v>24</v>
      </c>
      <c r="AB111" s="43">
        <v>152</v>
      </c>
      <c r="AC111" s="54"/>
      <c r="AD111" s="55"/>
      <c r="AE111" s="49">
        <f t="shared" si="19"/>
        <v>28.914161414675338</v>
      </c>
      <c r="AF111" s="48">
        <f t="shared" si="18"/>
        <v>298.91416141467533</v>
      </c>
      <c r="AG111" s="48">
        <f t="shared" si="20"/>
        <v>18.13775236588522</v>
      </c>
      <c r="AH111" s="56"/>
      <c r="AI111" s="53"/>
    </row>
    <row r="112" spans="1:35" s="39" customFormat="1" ht="12.75">
      <c r="A112" s="81">
        <f>88.33+0.75</f>
        <v>89.08</v>
      </c>
      <c r="B112" s="43" t="s">
        <v>96</v>
      </c>
      <c r="C112" s="43" t="s">
        <v>63</v>
      </c>
      <c r="D112" s="43">
        <v>11</v>
      </c>
      <c r="E112" s="40" t="s">
        <v>46</v>
      </c>
      <c r="F112" s="41">
        <v>75</v>
      </c>
      <c r="G112" s="42">
        <v>77</v>
      </c>
      <c r="H112" s="1"/>
      <c r="I112" s="30"/>
      <c r="J112" s="40">
        <v>90</v>
      </c>
      <c r="K112" s="45">
        <v>8</v>
      </c>
      <c r="L112" s="45">
        <v>0</v>
      </c>
      <c r="M112" s="45">
        <v>7</v>
      </c>
      <c r="N112" s="45"/>
      <c r="O112" s="46"/>
      <c r="P112" s="47">
        <f t="shared" si="11"/>
        <v>0.12068331933261862</v>
      </c>
      <c r="Q112" s="47">
        <f t="shared" si="12"/>
        <v>0.13813572576990213</v>
      </c>
      <c r="R112" s="47">
        <f t="shared" si="13"/>
        <v>-0.9828867607227297</v>
      </c>
      <c r="S112" s="48">
        <f t="shared" si="14"/>
        <v>48.85766737554553</v>
      </c>
      <c r="T112" s="48">
        <f>ASIN(R112/SQRT(P112^2+Q112^2+R112^2))*180/PI()</f>
        <v>-79.42894908769492</v>
      </c>
      <c r="U112" s="49">
        <f t="shared" si="15"/>
        <v>48.85766737554553</v>
      </c>
      <c r="V112" s="48">
        <f t="shared" si="16"/>
        <v>318.85766737554553</v>
      </c>
      <c r="W112" s="50">
        <f t="shared" si="17"/>
        <v>10.571050912305083</v>
      </c>
      <c r="X112" s="51"/>
      <c r="Y112" s="52"/>
      <c r="Z112" s="53"/>
      <c r="AA112" s="40">
        <v>24</v>
      </c>
      <c r="AB112" s="43">
        <v>152</v>
      </c>
      <c r="AC112" s="54"/>
      <c r="AD112" s="55"/>
      <c r="AE112" s="49">
        <f t="shared" si="19"/>
        <v>48.85766737554553</v>
      </c>
      <c r="AF112" s="48">
        <f t="shared" si="18"/>
        <v>318.85766737554553</v>
      </c>
      <c r="AG112" s="48">
        <f t="shared" si="20"/>
        <v>10.571050912305083</v>
      </c>
      <c r="AH112" s="56"/>
      <c r="AI112" s="53"/>
    </row>
    <row r="113" spans="1:35" s="39" customFormat="1" ht="12.75">
      <c r="A113" s="81">
        <f>88.33+0.9</f>
        <v>89.23</v>
      </c>
      <c r="B113" s="43" t="s">
        <v>96</v>
      </c>
      <c r="C113" s="43" t="s">
        <v>63</v>
      </c>
      <c r="D113" s="43">
        <v>11</v>
      </c>
      <c r="E113" s="40" t="s">
        <v>46</v>
      </c>
      <c r="F113" s="41">
        <v>90</v>
      </c>
      <c r="G113" s="42">
        <v>90</v>
      </c>
      <c r="H113" s="1"/>
      <c r="I113" s="30"/>
      <c r="J113" s="40">
        <v>270</v>
      </c>
      <c r="K113" s="45">
        <v>2</v>
      </c>
      <c r="L113" s="45">
        <v>180</v>
      </c>
      <c r="M113" s="45">
        <v>1</v>
      </c>
      <c r="N113" s="45"/>
      <c r="O113" s="46"/>
      <c r="P113" s="47">
        <f t="shared" si="11"/>
        <v>-0.01744177490283016</v>
      </c>
      <c r="Q113" s="47">
        <f t="shared" si="12"/>
        <v>-0.03489418134011367</v>
      </c>
      <c r="R113" s="47">
        <f t="shared" si="13"/>
        <v>-0.9992386149554826</v>
      </c>
      <c r="S113" s="48">
        <f t="shared" si="14"/>
        <v>243.4419319834189</v>
      </c>
      <c r="T113" s="48">
        <f>ASIN(R113/SQRT(P113^2+Q113^2+R113^2))*180/PI()</f>
        <v>-87.76429506217735</v>
      </c>
      <c r="U113" s="49">
        <f t="shared" si="15"/>
        <v>243.4419319834189</v>
      </c>
      <c r="V113" s="48">
        <f t="shared" si="16"/>
        <v>153.4419319834189</v>
      </c>
      <c r="W113" s="50">
        <f t="shared" si="17"/>
        <v>2.2357049378226463</v>
      </c>
      <c r="X113" s="51"/>
      <c r="Y113" s="52"/>
      <c r="Z113" s="53"/>
      <c r="AA113" s="40">
        <v>24</v>
      </c>
      <c r="AB113" s="43">
        <v>152</v>
      </c>
      <c r="AC113" s="54"/>
      <c r="AD113" s="55"/>
      <c r="AE113" s="49">
        <f t="shared" si="19"/>
        <v>243.4419319834189</v>
      </c>
      <c r="AF113" s="48">
        <f t="shared" si="18"/>
        <v>153.4419319834189</v>
      </c>
      <c r="AG113" s="48">
        <f t="shared" si="20"/>
        <v>2.2357049378226463</v>
      </c>
      <c r="AH113" s="56"/>
      <c r="AI113" s="53"/>
    </row>
    <row r="114" spans="1:35" s="39" customFormat="1" ht="12.75">
      <c r="A114" s="81">
        <f>88.33+1</f>
        <v>89.33</v>
      </c>
      <c r="B114" s="43" t="s">
        <v>96</v>
      </c>
      <c r="C114" s="43" t="s">
        <v>63</v>
      </c>
      <c r="D114" s="43">
        <v>11</v>
      </c>
      <c r="E114" s="40" t="s">
        <v>46</v>
      </c>
      <c r="F114" s="41">
        <v>100</v>
      </c>
      <c r="G114" s="42">
        <v>102</v>
      </c>
      <c r="H114" s="1"/>
      <c r="I114" s="30"/>
      <c r="J114" s="40">
        <v>90</v>
      </c>
      <c r="K114" s="45">
        <v>12</v>
      </c>
      <c r="L114" s="45">
        <v>0</v>
      </c>
      <c r="M114" s="45">
        <v>14</v>
      </c>
      <c r="N114" s="45"/>
      <c r="O114" s="46"/>
      <c r="P114" s="47">
        <f t="shared" si="11"/>
        <v>0.23663532174578922</v>
      </c>
      <c r="Q114" s="47">
        <f t="shared" si="12"/>
        <v>0.20173582504328819</v>
      </c>
      <c r="R114" s="47">
        <f t="shared" si="13"/>
        <v>-0.9490924366591315</v>
      </c>
      <c r="S114" s="48">
        <f t="shared" si="14"/>
        <v>40.44818271228962</v>
      </c>
      <c r="T114" s="48">
        <f>ASIN(R114/SQRT(P114^2+Q114^2+R114^2))*180/PI()</f>
        <v>-71.85938909378629</v>
      </c>
      <c r="U114" s="49">
        <f t="shared" si="15"/>
        <v>40.44818271228962</v>
      </c>
      <c r="V114" s="48">
        <f t="shared" si="16"/>
        <v>310.4481827122896</v>
      </c>
      <c r="W114" s="50">
        <f t="shared" si="17"/>
        <v>18.14061090621371</v>
      </c>
      <c r="X114" s="51"/>
      <c r="Y114" s="52"/>
      <c r="Z114" s="53"/>
      <c r="AA114" s="40">
        <v>24</v>
      </c>
      <c r="AB114" s="43">
        <v>152</v>
      </c>
      <c r="AC114" s="54"/>
      <c r="AD114" s="55"/>
      <c r="AE114" s="49">
        <f t="shared" si="19"/>
        <v>40.44818271228962</v>
      </c>
      <c r="AF114" s="48">
        <f t="shared" si="18"/>
        <v>310.4481827122896</v>
      </c>
      <c r="AG114" s="48">
        <f t="shared" si="20"/>
        <v>18.14061090621371</v>
      </c>
      <c r="AH114" s="56"/>
      <c r="AI114" s="53"/>
    </row>
    <row r="115" spans="1:35" s="39" customFormat="1" ht="12.75">
      <c r="A115" s="81">
        <f>88.33+1.31</f>
        <v>89.64</v>
      </c>
      <c r="B115" s="43" t="s">
        <v>96</v>
      </c>
      <c r="C115" s="43" t="s">
        <v>63</v>
      </c>
      <c r="D115" s="43">
        <v>11</v>
      </c>
      <c r="E115" s="40" t="s">
        <v>46</v>
      </c>
      <c r="F115" s="41">
        <v>131</v>
      </c>
      <c r="G115" s="42">
        <v>132</v>
      </c>
      <c r="H115" s="1"/>
      <c r="I115" s="30"/>
      <c r="J115" s="40">
        <v>90</v>
      </c>
      <c r="K115" s="45">
        <v>9</v>
      </c>
      <c r="L115" s="45">
        <v>0</v>
      </c>
      <c r="M115" s="45">
        <v>15</v>
      </c>
      <c r="N115" s="45"/>
      <c r="O115" s="46"/>
      <c r="P115" s="47">
        <f t="shared" si="11"/>
        <v>0.25563255317172684</v>
      </c>
      <c r="Q115" s="47">
        <f t="shared" si="12"/>
        <v>0.15110408990407334</v>
      </c>
      <c r="R115" s="47">
        <f t="shared" si="13"/>
        <v>-0.9540336765054371</v>
      </c>
      <c r="S115" s="48">
        <f t="shared" si="14"/>
        <v>30.587281722675122</v>
      </c>
      <c r="T115" s="48">
        <f>ASIN(R115/SQRT(P115^2+Q115^2+R115^2))*180/PI()</f>
        <v>-72.71075654169157</v>
      </c>
      <c r="U115" s="49">
        <f t="shared" si="15"/>
        <v>30.587281722675122</v>
      </c>
      <c r="V115" s="48">
        <f t="shared" si="16"/>
        <v>300.58728172267513</v>
      </c>
      <c r="W115" s="50">
        <f t="shared" si="17"/>
        <v>17.289243458308434</v>
      </c>
      <c r="X115" s="51"/>
      <c r="Y115" s="52"/>
      <c r="Z115" s="53"/>
      <c r="AA115" s="40">
        <v>24</v>
      </c>
      <c r="AB115" s="43">
        <v>152</v>
      </c>
      <c r="AC115" s="54"/>
      <c r="AD115" s="55"/>
      <c r="AE115" s="49">
        <f t="shared" si="19"/>
        <v>30.587281722675122</v>
      </c>
      <c r="AF115" s="48">
        <f t="shared" si="18"/>
        <v>300.58728172267513</v>
      </c>
      <c r="AG115" s="48">
        <f t="shared" si="20"/>
        <v>17.289243458308434</v>
      </c>
      <c r="AH115" s="56"/>
      <c r="AI115" s="53"/>
    </row>
    <row r="116" spans="1:35" s="39" customFormat="1" ht="12.75">
      <c r="A116" s="81">
        <f>88.33+0.57</f>
        <v>88.89999999999999</v>
      </c>
      <c r="B116" s="43" t="s">
        <v>96</v>
      </c>
      <c r="C116" s="43" t="s">
        <v>63</v>
      </c>
      <c r="D116" s="43">
        <v>11</v>
      </c>
      <c r="E116" s="40" t="s">
        <v>47</v>
      </c>
      <c r="F116" s="41">
        <v>57</v>
      </c>
      <c r="G116" s="42">
        <v>61</v>
      </c>
      <c r="H116" s="1"/>
      <c r="I116" s="30"/>
      <c r="J116" s="40">
        <v>270</v>
      </c>
      <c r="K116" s="45">
        <v>35</v>
      </c>
      <c r="L116" s="45">
        <v>180</v>
      </c>
      <c r="M116" s="45">
        <v>31</v>
      </c>
      <c r="N116" s="45"/>
      <c r="O116" s="46"/>
      <c r="P116" s="47">
        <f t="shared" si="11"/>
        <v>-0.42189449194923784</v>
      </c>
      <c r="Q116" s="47">
        <f t="shared" si="12"/>
        <v>-0.49165096569336303</v>
      </c>
      <c r="R116" s="47">
        <f t="shared" si="13"/>
        <v>-0.7021503466678123</v>
      </c>
      <c r="S116" s="48">
        <f t="shared" si="14"/>
        <v>229.36651600484757</v>
      </c>
      <c r="T116" s="48">
        <f>ASIN(R116/SQRT(P116^2+Q116^2+R116^2))*180/PI()</f>
        <v>-47.303131572797426</v>
      </c>
      <c r="U116" s="49">
        <f t="shared" si="15"/>
        <v>229.36651600484757</v>
      </c>
      <c r="V116" s="48">
        <f t="shared" si="16"/>
        <v>139.36651600484757</v>
      </c>
      <c r="W116" s="50">
        <f t="shared" si="17"/>
        <v>42.696868427202574</v>
      </c>
      <c r="X116" s="51"/>
      <c r="Y116" s="52"/>
      <c r="Z116" s="53" t="s">
        <v>48</v>
      </c>
      <c r="AA116" s="40">
        <v>24</v>
      </c>
      <c r="AB116" s="43">
        <v>152</v>
      </c>
      <c r="AC116" s="54"/>
      <c r="AD116" s="55"/>
      <c r="AE116" s="49">
        <f t="shared" si="19"/>
        <v>229.36651600484757</v>
      </c>
      <c r="AF116" s="48">
        <f t="shared" si="18"/>
        <v>139.36651600484757</v>
      </c>
      <c r="AG116" s="48">
        <f t="shared" si="20"/>
        <v>42.696868427202574</v>
      </c>
      <c r="AH116" s="56"/>
      <c r="AI116" s="53" t="str">
        <f>Z116</f>
        <v>N</v>
      </c>
    </row>
    <row r="117" spans="1:35" s="39" customFormat="1" ht="12.75">
      <c r="A117" s="81">
        <f>89.87+0.07</f>
        <v>89.94</v>
      </c>
      <c r="B117" s="43" t="s">
        <v>96</v>
      </c>
      <c r="C117" s="43" t="s">
        <v>63</v>
      </c>
      <c r="D117" s="43">
        <v>12</v>
      </c>
      <c r="E117" s="40" t="s">
        <v>46</v>
      </c>
      <c r="F117" s="41">
        <v>7</v>
      </c>
      <c r="G117" s="42">
        <v>7</v>
      </c>
      <c r="H117" s="1"/>
      <c r="I117" s="30"/>
      <c r="J117" s="40">
        <v>90</v>
      </c>
      <c r="K117" s="45">
        <v>5</v>
      </c>
      <c r="L117" s="45">
        <v>0</v>
      </c>
      <c r="M117" s="45">
        <v>4</v>
      </c>
      <c r="N117" s="45"/>
      <c r="O117" s="46"/>
      <c r="P117" s="47">
        <f t="shared" si="11"/>
        <v>0.06949102930147368</v>
      </c>
      <c r="Q117" s="47">
        <f t="shared" si="12"/>
        <v>0.08694343573875718</v>
      </c>
      <c r="R117" s="47">
        <f t="shared" si="13"/>
        <v>-0.9937680178757644</v>
      </c>
      <c r="S117" s="48">
        <f t="shared" si="14"/>
        <v>51.36580520133216</v>
      </c>
      <c r="T117" s="48">
        <f>ASIN(R117/SQRT(P117^2+Q117^2+R117^2))*180/PI()</f>
        <v>-83.60949830070751</v>
      </c>
      <c r="U117" s="49">
        <f t="shared" si="15"/>
        <v>51.36580520133216</v>
      </c>
      <c r="V117" s="48">
        <f t="shared" si="16"/>
        <v>321.36580520133214</v>
      </c>
      <c r="W117" s="50">
        <f t="shared" si="17"/>
        <v>6.390501699292486</v>
      </c>
      <c r="X117" s="51"/>
      <c r="Y117" s="52"/>
      <c r="Z117" s="53"/>
      <c r="AA117" s="40">
        <v>0</v>
      </c>
      <c r="AB117" s="43">
        <v>26</v>
      </c>
      <c r="AC117" s="54"/>
      <c r="AD117" s="55"/>
      <c r="AE117" s="49">
        <f t="shared" si="19"/>
        <v>51.36580520133216</v>
      </c>
      <c r="AF117" s="48">
        <f t="shared" si="18"/>
        <v>321.36580520133214</v>
      </c>
      <c r="AG117" s="48">
        <f t="shared" si="20"/>
        <v>6.390501699292486</v>
      </c>
      <c r="AH117" s="56"/>
      <c r="AI117" s="53"/>
    </row>
    <row r="118" spans="1:35" s="39" customFormat="1" ht="21">
      <c r="A118" s="81">
        <f>89.87+0.8</f>
        <v>90.67</v>
      </c>
      <c r="B118" s="43" t="s">
        <v>96</v>
      </c>
      <c r="C118" s="43" t="s">
        <v>63</v>
      </c>
      <c r="D118" s="43">
        <v>12</v>
      </c>
      <c r="E118" s="40" t="s">
        <v>46</v>
      </c>
      <c r="F118" s="41">
        <v>80</v>
      </c>
      <c r="G118" s="42">
        <v>80</v>
      </c>
      <c r="H118" s="1"/>
      <c r="I118" s="30"/>
      <c r="J118" s="40">
        <v>90</v>
      </c>
      <c r="K118" s="45">
        <v>9</v>
      </c>
      <c r="L118" s="45">
        <v>0</v>
      </c>
      <c r="M118" s="45">
        <v>13</v>
      </c>
      <c r="N118" s="45"/>
      <c r="O118" s="46"/>
      <c r="P118" s="47">
        <f t="shared" si="11"/>
        <v>0.2221815335800187</v>
      </c>
      <c r="Q118" s="47">
        <f t="shared" si="12"/>
        <v>0.15242505983589336</v>
      </c>
      <c r="R118" s="47">
        <f t="shared" si="13"/>
        <v>-0.9623739524133059</v>
      </c>
      <c r="S118" s="48">
        <f t="shared" si="14"/>
        <v>34.45161786155917</v>
      </c>
      <c r="T118" s="48">
        <f>ASIN(R118/SQRT(P118^2+Q118^2+R118^2))*180/PI()</f>
        <v>-74.35910534335865</v>
      </c>
      <c r="U118" s="49">
        <f t="shared" si="15"/>
        <v>34.45161786155917</v>
      </c>
      <c r="V118" s="48">
        <f t="shared" si="16"/>
        <v>304.45161786155916</v>
      </c>
      <c r="W118" s="50">
        <f t="shared" si="17"/>
        <v>15.64089465664135</v>
      </c>
      <c r="X118" s="51"/>
      <c r="Y118" s="52"/>
      <c r="Z118" s="53"/>
      <c r="AA118" s="40">
        <v>59</v>
      </c>
      <c r="AB118" s="43">
        <v>112</v>
      </c>
      <c r="AC118" s="54"/>
      <c r="AD118" s="55"/>
      <c r="AE118" s="49">
        <f t="shared" si="19"/>
        <v>34.45161786155917</v>
      </c>
      <c r="AF118" s="48">
        <f t="shared" si="18"/>
        <v>304.45161786155916</v>
      </c>
      <c r="AG118" s="48">
        <f t="shared" si="20"/>
        <v>15.64089465664135</v>
      </c>
      <c r="AH118" s="56"/>
      <c r="AI118" s="53"/>
    </row>
    <row r="119" spans="1:35" s="39" customFormat="1" ht="12.75">
      <c r="A119" s="81">
        <f>0.97+89.87</f>
        <v>90.84</v>
      </c>
      <c r="B119" s="43" t="s">
        <v>96</v>
      </c>
      <c r="C119" s="43" t="s">
        <v>63</v>
      </c>
      <c r="D119" s="43">
        <v>12</v>
      </c>
      <c r="E119" s="40" t="s">
        <v>46</v>
      </c>
      <c r="F119" s="41">
        <v>97</v>
      </c>
      <c r="G119" s="42">
        <v>97</v>
      </c>
      <c r="H119" s="1"/>
      <c r="I119" s="30"/>
      <c r="J119" s="40">
        <v>90</v>
      </c>
      <c r="K119" s="45">
        <v>4</v>
      </c>
      <c r="L119" s="45">
        <v>0</v>
      </c>
      <c r="M119" s="45">
        <v>17</v>
      </c>
      <c r="N119" s="45"/>
      <c r="O119" s="46"/>
      <c r="P119" s="47">
        <f t="shared" si="11"/>
        <v>0.2916595019445827</v>
      </c>
      <c r="Q119" s="47">
        <f t="shared" si="12"/>
        <v>0.06670844760071762</v>
      </c>
      <c r="R119" s="47">
        <f t="shared" si="13"/>
        <v>-0.9539752456412184</v>
      </c>
      <c r="S119" s="48">
        <f t="shared" si="14"/>
        <v>12.883107273894602</v>
      </c>
      <c r="T119" s="48">
        <f>ASIN(R119/SQRT(P119^2+Q119^2+R119^2))*180/PI()</f>
        <v>-72.58724050635138</v>
      </c>
      <c r="U119" s="49">
        <f t="shared" si="15"/>
        <v>12.883107273894602</v>
      </c>
      <c r="V119" s="48">
        <f t="shared" si="16"/>
        <v>282.8831072738946</v>
      </c>
      <c r="W119" s="50">
        <f t="shared" si="17"/>
        <v>17.412759493648622</v>
      </c>
      <c r="X119" s="51"/>
      <c r="Y119" s="52"/>
      <c r="Z119" s="53"/>
      <c r="AA119" s="40">
        <v>59</v>
      </c>
      <c r="AB119" s="43">
        <v>112</v>
      </c>
      <c r="AC119" s="54"/>
      <c r="AD119" s="55"/>
      <c r="AE119" s="49">
        <f t="shared" si="19"/>
        <v>12.883107273894602</v>
      </c>
      <c r="AF119" s="48">
        <f t="shared" si="18"/>
        <v>282.8831072738946</v>
      </c>
      <c r="AG119" s="48">
        <f t="shared" si="20"/>
        <v>17.412759493648622</v>
      </c>
      <c r="AH119" s="56"/>
      <c r="AI119" s="53"/>
    </row>
    <row r="120" spans="1:35" s="39" customFormat="1" ht="12.75">
      <c r="A120" s="81">
        <f>1.06+89.87</f>
        <v>90.93</v>
      </c>
      <c r="B120" s="43" t="s">
        <v>96</v>
      </c>
      <c r="C120" s="43" t="s">
        <v>63</v>
      </c>
      <c r="D120" s="43">
        <v>12</v>
      </c>
      <c r="E120" s="40" t="s">
        <v>47</v>
      </c>
      <c r="F120" s="41">
        <v>106</v>
      </c>
      <c r="G120" s="42">
        <v>113</v>
      </c>
      <c r="H120" s="1"/>
      <c r="I120" s="30"/>
      <c r="J120" s="40">
        <v>90</v>
      </c>
      <c r="K120" s="45">
        <v>60</v>
      </c>
      <c r="L120" s="45">
        <v>122</v>
      </c>
      <c r="M120" s="45">
        <v>0</v>
      </c>
      <c r="N120" s="45"/>
      <c r="O120" s="46"/>
      <c r="P120" s="47">
        <f aca="true" t="shared" si="21" ref="P120:P177">COS(K120*PI()/180)*SIN(J120*PI()/180)*(SIN(M120*PI()/180))-(COS(M120*PI()/180)*SIN(L120*PI()/180))*(SIN(K120*PI()/180))</f>
        <v>-0.7344311949024933</v>
      </c>
      <c r="Q120" s="47">
        <f aca="true" t="shared" si="22" ref="Q120:Q177">(SIN(K120*PI()/180))*(COS(M120*PI()/180)*COS(L120*PI()/180))-(SIN(M120*PI()/180))*(COS(K120*PI()/180)*COS(J120*PI()/180))</f>
        <v>-0.4589235447807138</v>
      </c>
      <c r="R120" s="47">
        <f aca="true" t="shared" si="23" ref="R120:R177">(COS(K120*PI()/180)*COS(J120*PI()/180))*(COS(M120*PI()/180)*SIN(L120*PI()/180))-(COS(K120*PI()/180)*SIN(J120*PI()/180))*(COS(M120*PI()/180)*COS(L120*PI()/180))</f>
        <v>0.26495963211660245</v>
      </c>
      <c r="S120" s="48">
        <f aca="true" t="shared" si="24" ref="S120:S177">IF(P120=0,IF(Q120&gt;=0,90,270),IF(P120&gt;0,IF(Q120&gt;=0,ATAN(Q120/P120)*180/PI(),ATAN(Q120/P120)*180/PI()+360),ATAN(Q120/P120)*180/PI()+180))</f>
        <v>212</v>
      </c>
      <c r="T120" s="48">
        <f>ASIN(R120/SQRT(P120^2+Q120^2+R120^2))*180/PI()</f>
        <v>17.011440335203336</v>
      </c>
      <c r="U120" s="49">
        <f aca="true" t="shared" si="25" ref="U120:U177">IF(R120&lt;0,S120,IF(S120+180&gt;=360,S120-180,S120+180))</f>
        <v>32</v>
      </c>
      <c r="V120" s="48">
        <f aca="true" t="shared" si="26" ref="V120:V177">IF(U120-90&lt;0,U120+270,U120-90)</f>
        <v>302</v>
      </c>
      <c r="W120" s="50">
        <f aca="true" t="shared" si="27" ref="W120:W177">IF(R120&lt;0,90+T120,90-T120)</f>
        <v>72.98855966479667</v>
      </c>
      <c r="X120" s="51"/>
      <c r="Y120" s="52"/>
      <c r="Z120" s="53" t="s">
        <v>48</v>
      </c>
      <c r="AA120" s="40">
        <v>59</v>
      </c>
      <c r="AB120" s="43">
        <v>112</v>
      </c>
      <c r="AC120" s="54"/>
      <c r="AD120" s="55"/>
      <c r="AE120" s="49">
        <f t="shared" si="19"/>
        <v>32</v>
      </c>
      <c r="AF120" s="48">
        <f t="shared" si="18"/>
        <v>302</v>
      </c>
      <c r="AG120" s="48">
        <f t="shared" si="20"/>
        <v>72.98855966479667</v>
      </c>
      <c r="AH120" s="56"/>
      <c r="AI120" s="53" t="str">
        <f>Z120</f>
        <v>N</v>
      </c>
    </row>
    <row r="121" spans="1:35" s="39" customFormat="1" ht="12.75">
      <c r="A121" s="81">
        <f>89.87+1.27</f>
        <v>91.14</v>
      </c>
      <c r="B121" s="43" t="s">
        <v>96</v>
      </c>
      <c r="C121" s="43" t="s">
        <v>63</v>
      </c>
      <c r="D121" s="43">
        <v>12</v>
      </c>
      <c r="E121" s="40" t="s">
        <v>46</v>
      </c>
      <c r="F121" s="41">
        <v>127</v>
      </c>
      <c r="G121" s="42">
        <v>127</v>
      </c>
      <c r="H121" s="1"/>
      <c r="I121" s="30"/>
      <c r="J121" s="40">
        <v>90</v>
      </c>
      <c r="K121" s="45">
        <v>2</v>
      </c>
      <c r="L121" s="45">
        <v>0</v>
      </c>
      <c r="M121" s="45">
        <v>2</v>
      </c>
      <c r="N121" s="45"/>
      <c r="O121" s="46"/>
      <c r="P121" s="47">
        <f t="shared" si="21"/>
        <v>0.03487823687206265</v>
      </c>
      <c r="Q121" s="47">
        <f t="shared" si="22"/>
        <v>0.03487823687206265</v>
      </c>
      <c r="R121" s="47">
        <f t="shared" si="23"/>
        <v>-0.9987820251299122</v>
      </c>
      <c r="S121" s="48">
        <f t="shared" si="24"/>
        <v>45</v>
      </c>
      <c r="T121" s="48">
        <f>ASIN(R121/SQRT(P121^2+Q121^2+R121^2))*180/PI()</f>
        <v>-87.17272054092648</v>
      </c>
      <c r="U121" s="49">
        <f t="shared" si="25"/>
        <v>45</v>
      </c>
      <c r="V121" s="48">
        <f t="shared" si="26"/>
        <v>315</v>
      </c>
      <c r="W121" s="50">
        <f t="shared" si="27"/>
        <v>2.827279459073523</v>
      </c>
      <c r="X121" s="51"/>
      <c r="Y121" s="52"/>
      <c r="Z121" s="53"/>
      <c r="AA121" s="40">
        <v>116</v>
      </c>
      <c r="AB121" s="43">
        <v>132</v>
      </c>
      <c r="AC121" s="54"/>
      <c r="AD121" s="55"/>
      <c r="AE121" s="49">
        <f t="shared" si="19"/>
        <v>45</v>
      </c>
      <c r="AF121" s="48">
        <f t="shared" si="18"/>
        <v>315</v>
      </c>
      <c r="AG121" s="48">
        <f t="shared" si="20"/>
        <v>2.827279459073523</v>
      </c>
      <c r="AH121" s="56"/>
      <c r="AI121" s="53"/>
    </row>
    <row r="122" spans="1:35" s="39" customFormat="1" ht="21">
      <c r="A122" s="81">
        <f>0.1+91.19</f>
        <v>91.28999999999999</v>
      </c>
      <c r="B122" s="43" t="s">
        <v>96</v>
      </c>
      <c r="C122" s="43" t="s">
        <v>63</v>
      </c>
      <c r="D122" s="43">
        <v>13</v>
      </c>
      <c r="E122" s="40" t="s">
        <v>46</v>
      </c>
      <c r="F122" s="41">
        <v>10</v>
      </c>
      <c r="G122" s="42">
        <v>10</v>
      </c>
      <c r="H122" s="1"/>
      <c r="I122" s="30"/>
      <c r="J122" s="40">
        <v>90</v>
      </c>
      <c r="K122" s="45">
        <v>6</v>
      </c>
      <c r="L122" s="45">
        <v>0</v>
      </c>
      <c r="M122" s="45">
        <v>5</v>
      </c>
      <c r="N122" s="45"/>
      <c r="O122" s="46"/>
      <c r="P122" s="47">
        <f t="shared" si="21"/>
        <v>0.08667829446963064</v>
      </c>
      <c r="Q122" s="47">
        <f t="shared" si="22"/>
        <v>0.10413070090691415</v>
      </c>
      <c r="R122" s="47">
        <f t="shared" si="23"/>
        <v>-0.9907374393020275</v>
      </c>
      <c r="S122" s="48">
        <f t="shared" si="24"/>
        <v>50.22603585620645</v>
      </c>
      <c r="T122" s="48">
        <f>ASIN(R122/SQRT(P122^2+Q122^2+R122^2))*180/PI()</f>
        <v>-82.21297801271761</v>
      </c>
      <c r="U122" s="49">
        <f t="shared" si="25"/>
        <v>50.22603585620645</v>
      </c>
      <c r="V122" s="48">
        <f t="shared" si="26"/>
        <v>320.22603585620647</v>
      </c>
      <c r="W122" s="50">
        <f t="shared" si="27"/>
        <v>7.787021987282387</v>
      </c>
      <c r="X122" s="51"/>
      <c r="Y122" s="52"/>
      <c r="Z122" s="53"/>
      <c r="AA122" s="40">
        <v>0</v>
      </c>
      <c r="AB122" s="43">
        <v>27</v>
      </c>
      <c r="AC122" s="54"/>
      <c r="AD122" s="55"/>
      <c r="AE122" s="49">
        <f t="shared" si="19"/>
        <v>50.22603585620645</v>
      </c>
      <c r="AF122" s="48">
        <f t="shared" si="18"/>
        <v>320.22603585620647</v>
      </c>
      <c r="AG122" s="48">
        <f t="shared" si="20"/>
        <v>7.787021987282387</v>
      </c>
      <c r="AH122" s="56"/>
      <c r="AI122" s="53"/>
    </row>
    <row r="123" spans="1:35" s="39" customFormat="1" ht="12.75">
      <c r="A123" s="81">
        <f>0.35+91.19</f>
        <v>91.53999999999999</v>
      </c>
      <c r="B123" s="43" t="s">
        <v>96</v>
      </c>
      <c r="C123" s="43" t="s">
        <v>63</v>
      </c>
      <c r="D123" s="43">
        <v>13</v>
      </c>
      <c r="E123" s="40" t="s">
        <v>46</v>
      </c>
      <c r="F123" s="41">
        <v>35</v>
      </c>
      <c r="G123" s="42">
        <v>35</v>
      </c>
      <c r="H123" s="1"/>
      <c r="I123" s="30"/>
      <c r="J123" s="40">
        <v>90</v>
      </c>
      <c r="K123" s="45">
        <v>7</v>
      </c>
      <c r="L123" s="45">
        <v>180</v>
      </c>
      <c r="M123" s="45">
        <v>1</v>
      </c>
      <c r="N123" s="45"/>
      <c r="O123" s="46"/>
      <c r="P123" s="47">
        <f t="shared" si="21"/>
        <v>0.01732231884620597</v>
      </c>
      <c r="Q123" s="47">
        <f t="shared" si="22"/>
        <v>-0.12185078211385945</v>
      </c>
      <c r="R123" s="47">
        <f t="shared" si="23"/>
        <v>0.9923949820549218</v>
      </c>
      <c r="S123" s="48">
        <f t="shared" si="24"/>
        <v>278.090959437298</v>
      </c>
      <c r="T123" s="48">
        <f>ASIN(R123/SQRT(P123^2+Q123^2+R123^2))*180/PI()</f>
        <v>82.93032926402522</v>
      </c>
      <c r="U123" s="49">
        <f t="shared" si="25"/>
        <v>98.09095943729801</v>
      </c>
      <c r="V123" s="48">
        <f t="shared" si="26"/>
        <v>8.090959437298011</v>
      </c>
      <c r="W123" s="50">
        <f t="shared" si="27"/>
        <v>7.069670735974782</v>
      </c>
      <c r="X123" s="51"/>
      <c r="Y123" s="52"/>
      <c r="Z123" s="53"/>
      <c r="AA123" s="40">
        <v>33</v>
      </c>
      <c r="AB123" s="43">
        <v>95</v>
      </c>
      <c r="AC123" s="54"/>
      <c r="AD123" s="55"/>
      <c r="AE123" s="49">
        <f t="shared" si="19"/>
        <v>98.09095943729801</v>
      </c>
      <c r="AF123" s="48">
        <f t="shared" si="18"/>
        <v>8.090959437298011</v>
      </c>
      <c r="AG123" s="48">
        <f t="shared" si="20"/>
        <v>7.069670735974782</v>
      </c>
      <c r="AH123" s="56"/>
      <c r="AI123" s="53"/>
    </row>
    <row r="124" spans="1:35" s="39" customFormat="1" ht="21">
      <c r="A124" s="81">
        <f>92.2+0.03</f>
        <v>92.23</v>
      </c>
      <c r="B124" s="43" t="s">
        <v>96</v>
      </c>
      <c r="C124" s="43" t="s">
        <v>63</v>
      </c>
      <c r="D124" s="43">
        <v>14</v>
      </c>
      <c r="E124" s="40" t="s">
        <v>46</v>
      </c>
      <c r="F124" s="41">
        <v>3</v>
      </c>
      <c r="G124" s="42">
        <v>3</v>
      </c>
      <c r="H124" s="1"/>
      <c r="I124" s="30"/>
      <c r="J124" s="40">
        <v>90</v>
      </c>
      <c r="K124" s="45">
        <v>13</v>
      </c>
      <c r="L124" s="45">
        <v>0</v>
      </c>
      <c r="M124" s="45">
        <v>2</v>
      </c>
      <c r="N124" s="45"/>
      <c r="O124" s="46"/>
      <c r="P124" s="47">
        <f t="shared" si="21"/>
        <v>0.034005024862987974</v>
      </c>
      <c r="Q124" s="47">
        <f t="shared" si="22"/>
        <v>0.2248140202395328</v>
      </c>
      <c r="R124" s="47">
        <f t="shared" si="23"/>
        <v>-0.9737765048683662</v>
      </c>
      <c r="S124" s="48">
        <f t="shared" si="24"/>
        <v>81.39872905383277</v>
      </c>
      <c r="T124" s="48">
        <f>ASIN(R124/SQRT(P124^2+Q124^2+R124^2))*180/PI()</f>
        <v>-76.85723222850996</v>
      </c>
      <c r="U124" s="49">
        <f t="shared" si="25"/>
        <v>81.39872905383277</v>
      </c>
      <c r="V124" s="48">
        <f t="shared" si="26"/>
        <v>351.39872905383277</v>
      </c>
      <c r="W124" s="50">
        <f t="shared" si="27"/>
        <v>13.142767771490043</v>
      </c>
      <c r="X124" s="51"/>
      <c r="Y124" s="52"/>
      <c r="Z124" s="53"/>
      <c r="AA124" s="40">
        <v>0</v>
      </c>
      <c r="AB124" s="43">
        <v>60</v>
      </c>
      <c r="AC124" s="54"/>
      <c r="AD124" s="55"/>
      <c r="AE124" s="49">
        <f t="shared" si="19"/>
        <v>81.39872905383277</v>
      </c>
      <c r="AF124" s="48">
        <f t="shared" si="18"/>
        <v>351.39872905383277</v>
      </c>
      <c r="AG124" s="48">
        <f t="shared" si="20"/>
        <v>13.142767771490043</v>
      </c>
      <c r="AH124" s="56"/>
      <c r="AI124" s="53"/>
    </row>
    <row r="125" spans="1:35" s="39" customFormat="1" ht="12.75">
      <c r="A125" s="81">
        <f>90.11+0.16</f>
        <v>90.27</v>
      </c>
      <c r="B125" s="43" t="s">
        <v>96</v>
      </c>
      <c r="C125" s="43" t="s">
        <v>64</v>
      </c>
      <c r="D125" s="43">
        <v>1</v>
      </c>
      <c r="E125" s="40" t="s">
        <v>46</v>
      </c>
      <c r="F125" s="41">
        <v>16</v>
      </c>
      <c r="G125" s="42">
        <v>17</v>
      </c>
      <c r="H125" s="1"/>
      <c r="I125" s="30"/>
      <c r="J125" s="40">
        <v>90</v>
      </c>
      <c r="K125" s="45">
        <v>10</v>
      </c>
      <c r="L125" s="45">
        <v>0</v>
      </c>
      <c r="M125" s="45">
        <v>4</v>
      </c>
      <c r="N125" s="45"/>
      <c r="O125" s="46"/>
      <c r="P125" s="47">
        <f t="shared" si="21"/>
        <v>0.06869671616600713</v>
      </c>
      <c r="Q125" s="47">
        <f t="shared" si="22"/>
        <v>0.17322517943366056</v>
      </c>
      <c r="R125" s="47">
        <f t="shared" si="23"/>
        <v>-0.9824088108221348</v>
      </c>
      <c r="S125" s="48">
        <f t="shared" si="24"/>
        <v>68.3679777492164</v>
      </c>
      <c r="T125" s="48">
        <f>ASIN(R125/SQRT(P125^2+Q125^2+R125^2))*180/PI()</f>
        <v>-79.25937103879262</v>
      </c>
      <c r="U125" s="49">
        <f t="shared" si="25"/>
        <v>68.3679777492164</v>
      </c>
      <c r="V125" s="48">
        <f t="shared" si="26"/>
        <v>338.3679777492164</v>
      </c>
      <c r="W125" s="50">
        <f t="shared" si="27"/>
        <v>10.740628961207378</v>
      </c>
      <c r="X125" s="51"/>
      <c r="Y125" s="52"/>
      <c r="Z125" s="53"/>
      <c r="AA125" s="40">
        <v>0</v>
      </c>
      <c r="AB125" s="43">
        <v>25</v>
      </c>
      <c r="AC125" s="54"/>
      <c r="AD125" s="55"/>
      <c r="AE125" s="49">
        <f t="shared" si="19"/>
        <v>68.3679777492164</v>
      </c>
      <c r="AF125" s="48">
        <f t="shared" si="18"/>
        <v>338.3679777492164</v>
      </c>
      <c r="AG125" s="48">
        <f t="shared" si="20"/>
        <v>10.740628961207378</v>
      </c>
      <c r="AH125" s="56"/>
      <c r="AI125" s="53"/>
    </row>
    <row r="126" spans="1:35" s="39" customFormat="1" ht="21">
      <c r="A126" s="81">
        <f>0.37+90.11</f>
        <v>90.48</v>
      </c>
      <c r="B126" s="43" t="s">
        <v>96</v>
      </c>
      <c r="C126" s="43" t="s">
        <v>64</v>
      </c>
      <c r="D126" s="43">
        <v>1</v>
      </c>
      <c r="E126" s="40" t="s">
        <v>46</v>
      </c>
      <c r="F126" s="41">
        <v>37</v>
      </c>
      <c r="G126" s="42">
        <v>38</v>
      </c>
      <c r="H126" s="1"/>
      <c r="I126" s="30"/>
      <c r="J126" s="40">
        <v>90</v>
      </c>
      <c r="K126" s="45">
        <v>10</v>
      </c>
      <c r="L126" s="45">
        <v>0</v>
      </c>
      <c r="M126" s="45">
        <v>7</v>
      </c>
      <c r="N126" s="45"/>
      <c r="O126" s="46"/>
      <c r="P126" s="47">
        <f t="shared" si="21"/>
        <v>0.12001787423989643</v>
      </c>
      <c r="Q126" s="47">
        <f t="shared" si="22"/>
        <v>0.17235383048284025</v>
      </c>
      <c r="R126" s="47">
        <f t="shared" si="23"/>
        <v>-0.9774671453588046</v>
      </c>
      <c r="S126" s="48">
        <f t="shared" si="24"/>
        <v>55.14873625054899</v>
      </c>
      <c r="T126" s="48">
        <f>ASIN(R126/SQRT(P126^2+Q126^2+R126^2))*180/PI()</f>
        <v>-77.87347698248588</v>
      </c>
      <c r="U126" s="49">
        <f t="shared" si="25"/>
        <v>55.14873625054899</v>
      </c>
      <c r="V126" s="48">
        <f t="shared" si="26"/>
        <v>325.148736250549</v>
      </c>
      <c r="W126" s="50">
        <f t="shared" si="27"/>
        <v>12.126523017514117</v>
      </c>
      <c r="X126" s="51"/>
      <c r="Y126" s="52"/>
      <c r="Z126" s="53"/>
      <c r="AA126" s="40">
        <v>32</v>
      </c>
      <c r="AB126" s="43">
        <v>67</v>
      </c>
      <c r="AC126" s="54"/>
      <c r="AD126" s="55"/>
      <c r="AE126" s="49">
        <f t="shared" si="19"/>
        <v>55.14873625054899</v>
      </c>
      <c r="AF126" s="48">
        <f t="shared" si="18"/>
        <v>325.148736250549</v>
      </c>
      <c r="AG126" s="48">
        <f t="shared" si="20"/>
        <v>12.126523017514117</v>
      </c>
      <c r="AH126" s="56"/>
      <c r="AI126" s="53"/>
    </row>
    <row r="127" spans="1:35" s="39" customFormat="1" ht="12.75">
      <c r="A127" s="81">
        <f>90.11+0.54</f>
        <v>90.65</v>
      </c>
      <c r="B127" s="43" t="s">
        <v>96</v>
      </c>
      <c r="C127" s="43" t="s">
        <v>64</v>
      </c>
      <c r="D127" s="43">
        <v>1</v>
      </c>
      <c r="E127" s="40" t="s">
        <v>46</v>
      </c>
      <c r="F127" s="41">
        <v>54</v>
      </c>
      <c r="G127" s="42">
        <v>54</v>
      </c>
      <c r="H127" s="1"/>
      <c r="I127" s="30"/>
      <c r="J127" s="40">
        <v>90</v>
      </c>
      <c r="K127" s="45">
        <v>12</v>
      </c>
      <c r="L127" s="45">
        <v>180</v>
      </c>
      <c r="M127" s="45">
        <v>4</v>
      </c>
      <c r="N127" s="45"/>
      <c r="O127" s="46"/>
      <c r="P127" s="47">
        <f t="shared" si="21"/>
        <v>0.06823212742846685</v>
      </c>
      <c r="Q127" s="47">
        <f t="shared" si="22"/>
        <v>-0.2074052283885323</v>
      </c>
      <c r="R127" s="47">
        <f t="shared" si="23"/>
        <v>0.9757648823399446</v>
      </c>
      <c r="S127" s="48">
        <f t="shared" si="24"/>
        <v>288.21016043210227</v>
      </c>
      <c r="T127" s="48">
        <f>ASIN(R127/SQRT(P127^2+Q127^2+R127^2))*180/PI()</f>
        <v>77.38707326251307</v>
      </c>
      <c r="U127" s="49">
        <f t="shared" si="25"/>
        <v>108.21016043210227</v>
      </c>
      <c r="V127" s="48">
        <f t="shared" si="26"/>
        <v>18.21016043210227</v>
      </c>
      <c r="W127" s="50">
        <f t="shared" si="27"/>
        <v>12.61292673748693</v>
      </c>
      <c r="X127" s="51"/>
      <c r="Y127" s="52"/>
      <c r="Z127" s="53"/>
      <c r="AA127" s="40">
        <v>32</v>
      </c>
      <c r="AB127" s="43">
        <v>67</v>
      </c>
      <c r="AC127" s="54"/>
      <c r="AD127" s="55"/>
      <c r="AE127" s="49">
        <f t="shared" si="19"/>
        <v>108.21016043210227</v>
      </c>
      <c r="AF127" s="48">
        <f t="shared" si="18"/>
        <v>18.21016043210227</v>
      </c>
      <c r="AG127" s="48">
        <f t="shared" si="20"/>
        <v>12.61292673748693</v>
      </c>
      <c r="AH127" s="56"/>
      <c r="AI127" s="53"/>
    </row>
    <row r="128" spans="1:35" s="39" customFormat="1" ht="12.75">
      <c r="A128" s="81">
        <f>0.68+92.295</f>
        <v>92.97500000000001</v>
      </c>
      <c r="B128" s="43" t="s">
        <v>96</v>
      </c>
      <c r="C128" s="43" t="s">
        <v>68</v>
      </c>
      <c r="D128" s="43">
        <v>5</v>
      </c>
      <c r="E128" s="40" t="s">
        <v>46</v>
      </c>
      <c r="F128" s="41">
        <v>68</v>
      </c>
      <c r="G128" s="42">
        <v>68</v>
      </c>
      <c r="H128" s="1"/>
      <c r="I128" s="30"/>
      <c r="J128" s="40">
        <v>270</v>
      </c>
      <c r="K128" s="45">
        <v>4</v>
      </c>
      <c r="L128" s="45">
        <v>180</v>
      </c>
      <c r="M128" s="45">
        <v>3</v>
      </c>
      <c r="N128" s="45"/>
      <c r="O128" s="46"/>
      <c r="P128" s="47">
        <f t="shared" si="21"/>
        <v>-0.052208468483931986</v>
      </c>
      <c r="Q128" s="47">
        <f t="shared" si="22"/>
        <v>-0.06966087492121548</v>
      </c>
      <c r="R128" s="47">
        <f t="shared" si="23"/>
        <v>-0.9961969233988566</v>
      </c>
      <c r="S128" s="48">
        <f t="shared" si="24"/>
        <v>233.14968288059936</v>
      </c>
      <c r="T128" s="48">
        <f>ASIN(R128/SQRT(P128^2+Q128^2+R128^2))*180/PI()</f>
        <v>-85.00583060689412</v>
      </c>
      <c r="U128" s="49">
        <f t="shared" si="25"/>
        <v>233.14968288059936</v>
      </c>
      <c r="V128" s="48">
        <f t="shared" si="26"/>
        <v>143.14968288059936</v>
      </c>
      <c r="W128" s="50">
        <f t="shared" si="27"/>
        <v>4.994169393105878</v>
      </c>
      <c r="X128" s="51"/>
      <c r="Y128" s="52"/>
      <c r="Z128" s="53"/>
      <c r="AA128" s="40">
        <v>51</v>
      </c>
      <c r="AB128" s="43">
        <v>139</v>
      </c>
      <c r="AC128" s="54"/>
      <c r="AD128" s="55"/>
      <c r="AE128" s="49">
        <f t="shared" si="19"/>
        <v>233.14968288059936</v>
      </c>
      <c r="AF128" s="48">
        <f t="shared" si="18"/>
        <v>143.14968288059936</v>
      </c>
      <c r="AG128" s="48">
        <f t="shared" si="20"/>
        <v>4.994169393105878</v>
      </c>
      <c r="AH128" s="56"/>
      <c r="AI128" s="53"/>
    </row>
    <row r="129" spans="1:35" s="39" customFormat="1" ht="12.75">
      <c r="A129" s="81">
        <f>0.395+92.295</f>
        <v>92.69</v>
      </c>
      <c r="B129" s="43" t="s">
        <v>96</v>
      </c>
      <c r="C129" s="43" t="s">
        <v>68</v>
      </c>
      <c r="D129" s="43">
        <v>5</v>
      </c>
      <c r="E129" s="40" t="s">
        <v>46</v>
      </c>
      <c r="F129" s="41">
        <v>39.5</v>
      </c>
      <c r="G129" s="42">
        <v>39.5</v>
      </c>
      <c r="H129" s="1"/>
      <c r="I129" s="30"/>
      <c r="J129" s="40">
        <v>90</v>
      </c>
      <c r="K129" s="45">
        <v>0</v>
      </c>
      <c r="L129" s="45">
        <v>0</v>
      </c>
      <c r="M129" s="45">
        <v>2</v>
      </c>
      <c r="N129" s="45"/>
      <c r="O129" s="46"/>
      <c r="P129" s="47">
        <f t="shared" si="21"/>
        <v>0.03489949670250097</v>
      </c>
      <c r="Q129" s="47">
        <f t="shared" si="22"/>
        <v>-2.136977846428571E-18</v>
      </c>
      <c r="R129" s="47">
        <f t="shared" si="23"/>
        <v>-0.9993908270190958</v>
      </c>
      <c r="S129" s="48">
        <f t="shared" si="24"/>
        <v>360</v>
      </c>
      <c r="T129" s="48">
        <f>ASIN(R129/SQRT(P129^2+Q129^2+R129^2))*180/PI()</f>
        <v>-88.00000000000024</v>
      </c>
      <c r="U129" s="49">
        <f t="shared" si="25"/>
        <v>360</v>
      </c>
      <c r="V129" s="48">
        <f t="shared" si="26"/>
        <v>270</v>
      </c>
      <c r="W129" s="50">
        <f t="shared" si="27"/>
        <v>1.9999999999997584</v>
      </c>
      <c r="X129" s="51"/>
      <c r="Y129" s="52"/>
      <c r="Z129" s="53"/>
      <c r="AA129" s="40">
        <v>28</v>
      </c>
      <c r="AB129" s="43">
        <v>48</v>
      </c>
      <c r="AC129" s="54"/>
      <c r="AD129" s="55"/>
      <c r="AE129" s="49">
        <f t="shared" si="19"/>
        <v>360</v>
      </c>
      <c r="AF129" s="48">
        <f t="shared" si="18"/>
        <v>270</v>
      </c>
      <c r="AG129" s="48">
        <f t="shared" si="20"/>
        <v>1.9999999999997584</v>
      </c>
      <c r="AH129" s="56"/>
      <c r="AI129" s="53"/>
    </row>
    <row r="130" spans="1:35" s="39" customFormat="1" ht="21">
      <c r="A130" s="81">
        <f>92.295+0.15</f>
        <v>92.44500000000001</v>
      </c>
      <c r="B130" s="43" t="s">
        <v>96</v>
      </c>
      <c r="C130" s="43" t="s">
        <v>68</v>
      </c>
      <c r="D130" s="43">
        <v>9</v>
      </c>
      <c r="E130" s="40" t="s">
        <v>46</v>
      </c>
      <c r="F130" s="41">
        <v>15</v>
      </c>
      <c r="G130" s="42">
        <v>15</v>
      </c>
      <c r="H130" s="1"/>
      <c r="I130" s="30"/>
      <c r="J130" s="40">
        <v>90</v>
      </c>
      <c r="K130" s="45">
        <v>0</v>
      </c>
      <c r="L130" s="45">
        <v>0</v>
      </c>
      <c r="M130" s="45">
        <v>0</v>
      </c>
      <c r="N130" s="45"/>
      <c r="O130" s="46"/>
      <c r="P130" s="47">
        <f t="shared" si="21"/>
        <v>0</v>
      </c>
      <c r="Q130" s="47">
        <f t="shared" si="22"/>
        <v>0</v>
      </c>
      <c r="R130" s="47">
        <f t="shared" si="23"/>
        <v>-1</v>
      </c>
      <c r="S130" s="48">
        <f t="shared" si="24"/>
        <v>90</v>
      </c>
      <c r="T130" s="48">
        <f>ASIN(R130/SQRT(P130^2+Q130^2+R130^2))*180/PI()</f>
        <v>-90</v>
      </c>
      <c r="U130" s="49">
        <f t="shared" si="25"/>
        <v>90</v>
      </c>
      <c r="V130" s="48">
        <f t="shared" si="26"/>
        <v>0</v>
      </c>
      <c r="W130" s="50">
        <f t="shared" si="27"/>
        <v>0</v>
      </c>
      <c r="X130" s="51"/>
      <c r="Y130" s="52"/>
      <c r="Z130" s="53"/>
      <c r="AA130" s="40">
        <v>0</v>
      </c>
      <c r="AB130" s="43">
        <v>72</v>
      </c>
      <c r="AC130" s="54"/>
      <c r="AD130" s="55"/>
      <c r="AE130" s="49">
        <f t="shared" si="19"/>
        <v>90</v>
      </c>
      <c r="AF130" s="48">
        <f t="shared" si="18"/>
        <v>0</v>
      </c>
      <c r="AG130" s="48">
        <f t="shared" si="20"/>
        <v>0</v>
      </c>
      <c r="AH130" s="56"/>
      <c r="AI130" s="53"/>
    </row>
    <row r="131" spans="1:35" s="39" customFormat="1" ht="12.75">
      <c r="A131" s="81">
        <f>0.57+96.03</f>
        <v>96.6</v>
      </c>
      <c r="B131" s="43" t="s">
        <v>96</v>
      </c>
      <c r="C131" s="43" t="s">
        <v>68</v>
      </c>
      <c r="D131" s="43">
        <v>11</v>
      </c>
      <c r="E131" s="40" t="s">
        <v>46</v>
      </c>
      <c r="F131" s="41">
        <v>57</v>
      </c>
      <c r="G131" s="42">
        <v>57</v>
      </c>
      <c r="H131" s="1"/>
      <c r="I131" s="30"/>
      <c r="J131" s="40">
        <v>90</v>
      </c>
      <c r="K131" s="45">
        <v>0</v>
      </c>
      <c r="L131" s="45">
        <v>0</v>
      </c>
      <c r="M131" s="45">
        <v>2</v>
      </c>
      <c r="N131" s="45"/>
      <c r="O131" s="46"/>
      <c r="P131" s="47">
        <f t="shared" si="21"/>
        <v>0.03489949670250097</v>
      </c>
      <c r="Q131" s="47">
        <f t="shared" si="22"/>
        <v>-2.136977846428571E-18</v>
      </c>
      <c r="R131" s="47">
        <f t="shared" si="23"/>
        <v>-0.9993908270190958</v>
      </c>
      <c r="S131" s="48">
        <f t="shared" si="24"/>
        <v>360</v>
      </c>
      <c r="T131" s="48">
        <f>ASIN(R131/SQRT(P131^2+Q131^2+R131^2))*180/PI()</f>
        <v>-88.00000000000024</v>
      </c>
      <c r="U131" s="49">
        <f t="shared" si="25"/>
        <v>360</v>
      </c>
      <c r="V131" s="48">
        <f t="shared" si="26"/>
        <v>270</v>
      </c>
      <c r="W131" s="50">
        <f t="shared" si="27"/>
        <v>1.9999999999997584</v>
      </c>
      <c r="X131" s="51"/>
      <c r="Y131" s="52"/>
      <c r="Z131" s="53"/>
      <c r="AA131" s="40">
        <v>0</v>
      </c>
      <c r="AB131" s="43">
        <v>107</v>
      </c>
      <c r="AC131" s="54"/>
      <c r="AD131" s="55"/>
      <c r="AE131" s="49">
        <f t="shared" si="19"/>
        <v>360</v>
      </c>
      <c r="AF131" s="48">
        <f t="shared" si="18"/>
        <v>270</v>
      </c>
      <c r="AG131" s="48">
        <f t="shared" si="20"/>
        <v>1.9999999999997584</v>
      </c>
      <c r="AH131" s="56"/>
      <c r="AI131" s="53"/>
    </row>
    <row r="132" spans="1:35" s="39" customFormat="1" ht="12.75">
      <c r="A132" s="81">
        <f>0.99+96.03</f>
        <v>97.02</v>
      </c>
      <c r="B132" s="43" t="s">
        <v>96</v>
      </c>
      <c r="C132" s="43" t="s">
        <v>68</v>
      </c>
      <c r="D132" s="43">
        <v>11</v>
      </c>
      <c r="E132" s="40" t="s">
        <v>46</v>
      </c>
      <c r="F132" s="41">
        <v>99</v>
      </c>
      <c r="G132" s="42">
        <v>99</v>
      </c>
      <c r="H132" s="1"/>
      <c r="I132" s="30"/>
      <c r="J132" s="40">
        <v>90</v>
      </c>
      <c r="K132" s="45">
        <v>4</v>
      </c>
      <c r="L132" s="45">
        <v>180</v>
      </c>
      <c r="M132" s="45">
        <v>5</v>
      </c>
      <c r="N132" s="45"/>
      <c r="O132" s="46"/>
      <c r="P132" s="47">
        <f t="shared" si="21"/>
        <v>0.08694343573875717</v>
      </c>
      <c r="Q132" s="47">
        <f t="shared" si="22"/>
        <v>-0.06949102930147368</v>
      </c>
      <c r="R132" s="47">
        <f t="shared" si="23"/>
        <v>0.9937680178757644</v>
      </c>
      <c r="S132" s="48">
        <f t="shared" si="24"/>
        <v>321.36580520133214</v>
      </c>
      <c r="T132" s="48">
        <f>ASIN(R132/SQRT(P132^2+Q132^2+R132^2))*180/PI()</f>
        <v>83.60949830070747</v>
      </c>
      <c r="U132" s="49">
        <f t="shared" si="25"/>
        <v>141.36580520133214</v>
      </c>
      <c r="V132" s="48">
        <f t="shared" si="26"/>
        <v>51.36580520133214</v>
      </c>
      <c r="W132" s="50">
        <f t="shared" si="27"/>
        <v>6.390501699292528</v>
      </c>
      <c r="X132" s="51"/>
      <c r="Y132" s="52"/>
      <c r="Z132" s="53"/>
      <c r="AA132" s="40">
        <v>0</v>
      </c>
      <c r="AB132" s="43">
        <v>107</v>
      </c>
      <c r="AC132" s="54"/>
      <c r="AD132" s="55"/>
      <c r="AE132" s="49">
        <f t="shared" si="19"/>
        <v>141.36580520133214</v>
      </c>
      <c r="AF132" s="48">
        <f t="shared" si="18"/>
        <v>51.36580520133214</v>
      </c>
      <c r="AG132" s="48">
        <f t="shared" si="20"/>
        <v>6.390501699292528</v>
      </c>
      <c r="AH132" s="56"/>
      <c r="AI132" s="53"/>
    </row>
    <row r="133" spans="1:35" s="39" customFormat="1" ht="21">
      <c r="A133" s="81">
        <f>0.09+97.24</f>
        <v>97.33</v>
      </c>
      <c r="B133" s="43" t="s">
        <v>96</v>
      </c>
      <c r="C133" s="43" t="s">
        <v>68</v>
      </c>
      <c r="D133" s="43">
        <v>12</v>
      </c>
      <c r="E133" s="40" t="s">
        <v>46</v>
      </c>
      <c r="F133" s="41">
        <v>9</v>
      </c>
      <c r="G133" s="42">
        <v>9</v>
      </c>
      <c r="H133" s="1"/>
      <c r="I133" s="30"/>
      <c r="J133" s="40">
        <v>90</v>
      </c>
      <c r="K133" s="45">
        <v>1</v>
      </c>
      <c r="L133" s="45">
        <v>180</v>
      </c>
      <c r="M133" s="45">
        <v>1</v>
      </c>
      <c r="N133" s="45"/>
      <c r="O133" s="46"/>
      <c r="P133" s="47">
        <f t="shared" si="21"/>
        <v>0.01744974835125048</v>
      </c>
      <c r="Q133" s="47">
        <f t="shared" si="22"/>
        <v>-0.017449748351250485</v>
      </c>
      <c r="R133" s="47">
        <f t="shared" si="23"/>
        <v>0.9996954135095479</v>
      </c>
      <c r="S133" s="48">
        <f t="shared" si="24"/>
        <v>315</v>
      </c>
      <c r="T133" s="48">
        <f>ASIN(R133/SQRT(P133^2+Q133^2+R133^2))*180/PI()</f>
        <v>88.58593000067147</v>
      </c>
      <c r="U133" s="49">
        <f t="shared" si="25"/>
        <v>135</v>
      </c>
      <c r="V133" s="48">
        <f t="shared" si="26"/>
        <v>45</v>
      </c>
      <c r="W133" s="50">
        <f t="shared" si="27"/>
        <v>1.4140699993285324</v>
      </c>
      <c r="X133" s="51"/>
      <c r="Y133" s="52"/>
      <c r="Z133" s="53"/>
      <c r="AA133" s="40">
        <v>0</v>
      </c>
      <c r="AB133" s="43">
        <v>43</v>
      </c>
      <c r="AC133" s="54"/>
      <c r="AD133" s="55"/>
      <c r="AE133" s="49">
        <f t="shared" si="19"/>
        <v>135</v>
      </c>
      <c r="AF133" s="48">
        <f t="shared" si="18"/>
        <v>45</v>
      </c>
      <c r="AG133" s="48">
        <f t="shared" si="20"/>
        <v>1.4140699993285324</v>
      </c>
      <c r="AH133" s="56"/>
      <c r="AI133" s="53"/>
    </row>
    <row r="134" spans="1:35" s="39" customFormat="1" ht="21">
      <c r="A134" s="81">
        <f>108.29+0.4</f>
        <v>108.69000000000001</v>
      </c>
      <c r="B134" s="43" t="s">
        <v>96</v>
      </c>
      <c r="C134" s="43" t="s">
        <v>69</v>
      </c>
      <c r="D134" s="43">
        <v>1</v>
      </c>
      <c r="E134" s="40" t="s">
        <v>46</v>
      </c>
      <c r="F134" s="41">
        <v>40</v>
      </c>
      <c r="G134" s="42">
        <v>40</v>
      </c>
      <c r="H134" s="1"/>
      <c r="I134" s="30"/>
      <c r="J134" s="40">
        <v>90</v>
      </c>
      <c r="K134" s="45">
        <v>0</v>
      </c>
      <c r="L134" s="45">
        <v>0</v>
      </c>
      <c r="M134" s="45">
        <v>0</v>
      </c>
      <c r="N134" s="45"/>
      <c r="O134" s="46"/>
      <c r="P134" s="47">
        <f t="shared" si="21"/>
        <v>0</v>
      </c>
      <c r="Q134" s="47">
        <f t="shared" si="22"/>
        <v>0</v>
      </c>
      <c r="R134" s="47">
        <f t="shared" si="23"/>
        <v>-1</v>
      </c>
      <c r="S134" s="48">
        <f t="shared" si="24"/>
        <v>90</v>
      </c>
      <c r="T134" s="48">
        <f>ASIN(R134/SQRT(P134^2+Q134^2+R134^2))*180/PI()</f>
        <v>-90</v>
      </c>
      <c r="U134" s="49">
        <f t="shared" si="25"/>
        <v>90</v>
      </c>
      <c r="V134" s="48">
        <f t="shared" si="26"/>
        <v>0</v>
      </c>
      <c r="W134" s="50">
        <f t="shared" si="27"/>
        <v>0</v>
      </c>
      <c r="X134" s="51"/>
      <c r="Y134" s="52"/>
      <c r="Z134" s="53"/>
      <c r="AA134" s="40">
        <v>0</v>
      </c>
      <c r="AB134" s="43">
        <v>79</v>
      </c>
      <c r="AC134" s="54"/>
      <c r="AD134" s="55"/>
      <c r="AE134" s="49">
        <f t="shared" si="19"/>
        <v>90</v>
      </c>
      <c r="AF134" s="48">
        <f t="shared" si="18"/>
        <v>0</v>
      </c>
      <c r="AG134" s="48">
        <f t="shared" si="20"/>
        <v>0</v>
      </c>
      <c r="AH134" s="56"/>
      <c r="AI134" s="53"/>
    </row>
    <row r="135" spans="1:35" s="39" customFormat="1" ht="21">
      <c r="A135" s="81">
        <f>109.08+0.91</f>
        <v>109.99</v>
      </c>
      <c r="B135" s="43" t="s">
        <v>96</v>
      </c>
      <c r="C135" s="43" t="s">
        <v>69</v>
      </c>
      <c r="D135" s="43">
        <v>2</v>
      </c>
      <c r="E135" s="40" t="s">
        <v>46</v>
      </c>
      <c r="F135" s="41">
        <v>91</v>
      </c>
      <c r="G135" s="42">
        <v>91</v>
      </c>
      <c r="H135" s="1"/>
      <c r="I135" s="30"/>
      <c r="J135" s="40">
        <v>90</v>
      </c>
      <c r="K135" s="45">
        <v>1</v>
      </c>
      <c r="L135" s="45">
        <v>180</v>
      </c>
      <c r="M135" s="45">
        <v>4</v>
      </c>
      <c r="N135" s="45"/>
      <c r="O135" s="46"/>
      <c r="P135" s="47">
        <f t="shared" si="21"/>
        <v>0.06974584949530101</v>
      </c>
      <c r="Q135" s="47">
        <f t="shared" si="22"/>
        <v>-0.017409893252357173</v>
      </c>
      <c r="R135" s="47">
        <f t="shared" si="23"/>
        <v>0.9974121164231596</v>
      </c>
      <c r="S135" s="48">
        <f t="shared" si="24"/>
        <v>345.98430083594644</v>
      </c>
      <c r="T135" s="48">
        <f>ASIN(R135/SQRT(P135^2+Q135^2+R135^2))*180/PI()</f>
        <v>85.87768053918502</v>
      </c>
      <c r="U135" s="49">
        <f t="shared" si="25"/>
        <v>165.98430083594644</v>
      </c>
      <c r="V135" s="48">
        <f t="shared" si="26"/>
        <v>75.98430083594644</v>
      </c>
      <c r="W135" s="50">
        <f t="shared" si="27"/>
        <v>4.122319460814978</v>
      </c>
      <c r="X135" s="51"/>
      <c r="Y135" s="52"/>
      <c r="Z135" s="53"/>
      <c r="AA135" s="40">
        <v>82</v>
      </c>
      <c r="AB135" s="43">
        <v>121</v>
      </c>
      <c r="AC135" s="54"/>
      <c r="AD135" s="55"/>
      <c r="AE135" s="49">
        <f t="shared" si="19"/>
        <v>165.98430083594644</v>
      </c>
      <c r="AF135" s="48">
        <f t="shared" si="18"/>
        <v>75.98430083594644</v>
      </c>
      <c r="AG135" s="48">
        <f t="shared" si="20"/>
        <v>4.122319460814978</v>
      </c>
      <c r="AH135" s="56"/>
      <c r="AI135" s="53"/>
    </row>
    <row r="136" spans="1:36" s="39" customFormat="1" ht="12.75">
      <c r="A136" s="81">
        <f>0.82+111.035</f>
        <v>111.85499999999999</v>
      </c>
      <c r="B136" s="43" t="s">
        <v>96</v>
      </c>
      <c r="C136" s="43" t="s">
        <v>69</v>
      </c>
      <c r="D136" s="43">
        <v>4</v>
      </c>
      <c r="E136" s="40" t="s">
        <v>47</v>
      </c>
      <c r="F136" s="41">
        <v>82</v>
      </c>
      <c r="G136" s="42">
        <v>110</v>
      </c>
      <c r="H136" s="1"/>
      <c r="I136" s="30"/>
      <c r="J136" s="40">
        <v>90</v>
      </c>
      <c r="K136" s="45">
        <v>81</v>
      </c>
      <c r="L136" s="45">
        <v>235</v>
      </c>
      <c r="M136" s="45">
        <v>0</v>
      </c>
      <c r="N136" s="45">
        <v>35</v>
      </c>
      <c r="O136" s="46">
        <v>90</v>
      </c>
      <c r="P136" s="47">
        <f t="shared" si="21"/>
        <v>0.8090669233189088</v>
      </c>
      <c r="Q136" s="47">
        <f t="shared" si="22"/>
        <v>-0.5665147586240377</v>
      </c>
      <c r="R136" s="47">
        <f t="shared" si="23"/>
        <v>0.08972712298025799</v>
      </c>
      <c r="S136" s="48">
        <f t="shared" si="24"/>
        <v>325</v>
      </c>
      <c r="T136" s="48">
        <f>ASIN(R136/SQRT(P136^2+Q136^2+R136^2))*180/PI()</f>
        <v>5.19081996936469</v>
      </c>
      <c r="U136" s="49">
        <f t="shared" si="25"/>
        <v>145</v>
      </c>
      <c r="V136" s="48">
        <f t="shared" si="26"/>
        <v>55</v>
      </c>
      <c r="W136" s="50">
        <f t="shared" si="27"/>
        <v>84.8091800306353</v>
      </c>
      <c r="X136" s="51">
        <f>IF(-Q136&lt;0,180-ACOS(SIN((U136-90)*PI()/180)*R136/SQRT(Q136^2+R136^2))*180/PI(),ACOS(SIN((U136-90)*PI()/180)*R136/SQRT(Q136^2+R136^2))*180/PI())</f>
        <v>82.63766811358747</v>
      </c>
      <c r="Y136" s="52">
        <f>IF(O136=90,IF(X136-N136&lt;0,X136-N136+180,X136-N136),IF(O136=270,IF(X136+N136&gt;180,X136+N136-180,X136+N136),IF(U136&lt;180,IF(O136=1,IF(X136+N136&gt;180,X136+N136-180,X136+N136),IF(X136-N136&lt;0,X136-N136+180,X136-N136)),IF(O136=1,IF(X136-N136&lt;0,X136-N136+180,X136-N136),IF(X136+N136&gt;180,X136+N136-180,X136+N136)))))</f>
        <v>47.637668113587466</v>
      </c>
      <c r="Z136" s="53"/>
      <c r="AA136" s="40">
        <v>79</v>
      </c>
      <c r="AB136" s="43">
        <v>131</v>
      </c>
      <c r="AC136" s="54"/>
      <c r="AD136" s="55"/>
      <c r="AE136" s="49">
        <f t="shared" si="19"/>
        <v>145</v>
      </c>
      <c r="AF136" s="48">
        <f t="shared" si="18"/>
        <v>55</v>
      </c>
      <c r="AG136" s="48">
        <f t="shared" si="20"/>
        <v>84.8091800306353</v>
      </c>
      <c r="AH136" s="56">
        <f>Y136</f>
        <v>47.637668113587466</v>
      </c>
      <c r="AI136" s="53"/>
      <c r="AJ136" s="39" t="s">
        <v>110</v>
      </c>
    </row>
    <row r="137" spans="1:35" s="39" customFormat="1" ht="12.75">
      <c r="A137" s="81">
        <f>117.3+0.97</f>
        <v>118.27</v>
      </c>
      <c r="B137" s="43" t="s">
        <v>96</v>
      </c>
      <c r="C137" s="43" t="s">
        <v>71</v>
      </c>
      <c r="D137" s="43">
        <v>4</v>
      </c>
      <c r="E137" s="40" t="s">
        <v>46</v>
      </c>
      <c r="F137" s="41">
        <v>97</v>
      </c>
      <c r="G137" s="42">
        <v>98</v>
      </c>
      <c r="H137" s="1"/>
      <c r="I137" s="30"/>
      <c r="J137" s="40">
        <v>90</v>
      </c>
      <c r="K137" s="45">
        <v>6</v>
      </c>
      <c r="L137" s="45">
        <v>0</v>
      </c>
      <c r="M137" s="45">
        <v>10</v>
      </c>
      <c r="N137" s="45"/>
      <c r="O137" s="46"/>
      <c r="P137" s="47">
        <f t="shared" si="21"/>
        <v>0.1726969147805622</v>
      </c>
      <c r="Q137" s="47">
        <f t="shared" si="22"/>
        <v>0.10294044103643692</v>
      </c>
      <c r="R137" s="47">
        <f t="shared" si="23"/>
        <v>-0.9794128730990714</v>
      </c>
      <c r="S137" s="48">
        <f t="shared" si="24"/>
        <v>30.79814408198603</v>
      </c>
      <c r="T137" s="48">
        <f>ASIN(R137/SQRT(P137^2+Q137^2+R137^2))*180/PI()</f>
        <v>-78.39971637749203</v>
      </c>
      <c r="U137" s="49">
        <f t="shared" si="25"/>
        <v>30.79814408198603</v>
      </c>
      <c r="V137" s="48">
        <f t="shared" si="26"/>
        <v>300.79814408198604</v>
      </c>
      <c r="W137" s="50">
        <f t="shared" si="27"/>
        <v>11.600283622507973</v>
      </c>
      <c r="X137" s="51"/>
      <c r="Y137" s="52"/>
      <c r="Z137" s="53"/>
      <c r="AA137" s="40">
        <v>36</v>
      </c>
      <c r="AB137" s="43">
        <v>145</v>
      </c>
      <c r="AC137" s="54"/>
      <c r="AD137" s="55"/>
      <c r="AE137" s="49">
        <f t="shared" si="19"/>
        <v>30.79814408198603</v>
      </c>
      <c r="AF137" s="48">
        <f t="shared" si="18"/>
        <v>300.79814408198604</v>
      </c>
      <c r="AG137" s="48">
        <f t="shared" si="20"/>
        <v>11.600283622507973</v>
      </c>
      <c r="AH137" s="56"/>
      <c r="AI137" s="53"/>
    </row>
    <row r="138" spans="1:35" s="39" customFormat="1" ht="12.75">
      <c r="A138" s="81">
        <f>0.51+118.765</f>
        <v>119.275</v>
      </c>
      <c r="B138" s="43" t="s">
        <v>96</v>
      </c>
      <c r="C138" s="43" t="s">
        <v>71</v>
      </c>
      <c r="D138" s="43">
        <v>5</v>
      </c>
      <c r="E138" s="40" t="s">
        <v>46</v>
      </c>
      <c r="F138" s="41">
        <v>51</v>
      </c>
      <c r="G138" s="42">
        <v>51</v>
      </c>
      <c r="H138" s="1"/>
      <c r="I138" s="30"/>
      <c r="J138" s="40">
        <v>90</v>
      </c>
      <c r="K138" s="45">
        <v>3</v>
      </c>
      <c r="L138" s="45">
        <v>180</v>
      </c>
      <c r="M138" s="45">
        <v>7</v>
      </c>
      <c r="N138" s="45"/>
      <c r="O138" s="46"/>
      <c r="P138" s="47">
        <f t="shared" si="21"/>
        <v>0.12170232570552782</v>
      </c>
      <c r="Q138" s="47">
        <f t="shared" si="22"/>
        <v>-0.05194585196140252</v>
      </c>
      <c r="R138" s="47">
        <f t="shared" si="23"/>
        <v>0.991185901636016</v>
      </c>
      <c r="S138" s="48">
        <f t="shared" si="24"/>
        <v>336.8858966206344</v>
      </c>
      <c r="T138" s="48">
        <f>ASIN(R138/SQRT(P138^2+Q138^2+R138^2))*180/PI()</f>
        <v>82.39589554630736</v>
      </c>
      <c r="U138" s="49">
        <f t="shared" si="25"/>
        <v>156.8858966206344</v>
      </c>
      <c r="V138" s="48">
        <f t="shared" si="26"/>
        <v>66.88589662063441</v>
      </c>
      <c r="W138" s="50">
        <f t="shared" si="27"/>
        <v>7.604104453692642</v>
      </c>
      <c r="X138" s="51"/>
      <c r="Y138" s="52"/>
      <c r="Z138" s="53"/>
      <c r="AA138" s="40">
        <v>0</v>
      </c>
      <c r="AB138" s="43">
        <v>150</v>
      </c>
      <c r="AC138" s="54"/>
      <c r="AD138" s="55"/>
      <c r="AE138" s="49">
        <f t="shared" si="19"/>
        <v>156.8858966206344</v>
      </c>
      <c r="AF138" s="48">
        <f t="shared" si="18"/>
        <v>66.88589662063441</v>
      </c>
      <c r="AG138" s="48">
        <f t="shared" si="20"/>
        <v>7.604104453692642</v>
      </c>
      <c r="AH138" s="56"/>
      <c r="AI138" s="53"/>
    </row>
    <row r="139" spans="1:35" s="39" customFormat="1" ht="12.75">
      <c r="A139" s="81">
        <f>119.89+0.3</f>
        <v>120.19</v>
      </c>
      <c r="B139" s="43" t="s">
        <v>96</v>
      </c>
      <c r="C139" s="43" t="s">
        <v>72</v>
      </c>
      <c r="D139" s="43">
        <v>1</v>
      </c>
      <c r="E139" s="40" t="s">
        <v>46</v>
      </c>
      <c r="F139" s="41">
        <v>30</v>
      </c>
      <c r="G139" s="42">
        <v>31</v>
      </c>
      <c r="H139" s="1"/>
      <c r="I139" s="30"/>
      <c r="J139" s="40">
        <v>90</v>
      </c>
      <c r="K139" s="45">
        <v>11</v>
      </c>
      <c r="L139" s="45">
        <v>0</v>
      </c>
      <c r="M139" s="45">
        <v>1</v>
      </c>
      <c r="N139" s="45"/>
      <c r="O139" s="46"/>
      <c r="P139" s="47">
        <f t="shared" si="21"/>
        <v>0.017131756575414492</v>
      </c>
      <c r="Q139" s="47">
        <f t="shared" si="22"/>
        <v>0.19077993424234485</v>
      </c>
      <c r="R139" s="47">
        <f t="shared" si="23"/>
        <v>-0.9814776768730069</v>
      </c>
      <c r="S139" s="48">
        <f t="shared" si="24"/>
        <v>84.86868659819888</v>
      </c>
      <c r="T139" s="48">
        <f>ASIN(R139/SQRT(P139^2+Q139^2+R139^2))*180/PI()</f>
        <v>-78.9568242510489</v>
      </c>
      <c r="U139" s="49">
        <f t="shared" si="25"/>
        <v>84.86868659819888</v>
      </c>
      <c r="V139" s="48">
        <f t="shared" si="26"/>
        <v>354.8686865981989</v>
      </c>
      <c r="W139" s="50">
        <f t="shared" si="27"/>
        <v>11.0431757489511</v>
      </c>
      <c r="X139" s="51"/>
      <c r="Y139" s="52"/>
      <c r="Z139" s="53"/>
      <c r="AA139" s="40">
        <v>0</v>
      </c>
      <c r="AB139" s="43">
        <v>36</v>
      </c>
      <c r="AC139" s="54"/>
      <c r="AD139" s="55"/>
      <c r="AE139" s="49">
        <f t="shared" si="19"/>
        <v>84.86868659819888</v>
      </c>
      <c r="AF139" s="48">
        <f t="shared" si="18"/>
        <v>354.8686865981989</v>
      </c>
      <c r="AG139" s="48">
        <f t="shared" si="20"/>
        <v>11.0431757489511</v>
      </c>
      <c r="AH139" s="56"/>
      <c r="AI139" s="53"/>
    </row>
    <row r="140" spans="1:35" s="39" customFormat="1" ht="21">
      <c r="A140" s="81">
        <f>121.21+1.17</f>
        <v>122.38</v>
      </c>
      <c r="B140" s="43" t="s">
        <v>96</v>
      </c>
      <c r="C140" s="43" t="s">
        <v>72</v>
      </c>
      <c r="D140" s="43">
        <v>2</v>
      </c>
      <c r="E140" s="40" t="s">
        <v>46</v>
      </c>
      <c r="F140" s="41">
        <v>117</v>
      </c>
      <c r="G140" s="42">
        <v>118</v>
      </c>
      <c r="H140" s="1"/>
      <c r="I140" s="30"/>
      <c r="J140" s="40">
        <v>270</v>
      </c>
      <c r="K140" s="45">
        <v>1</v>
      </c>
      <c r="L140" s="45">
        <v>0</v>
      </c>
      <c r="M140" s="45">
        <v>9</v>
      </c>
      <c r="N140" s="45"/>
      <c r="O140" s="46"/>
      <c r="P140" s="47">
        <f t="shared" si="21"/>
        <v>-0.1564106393134979</v>
      </c>
      <c r="Q140" s="47">
        <f t="shared" si="22"/>
        <v>0.01723753835343248</v>
      </c>
      <c r="R140" s="47">
        <f t="shared" si="23"/>
        <v>0.9875379108768892</v>
      </c>
      <c r="S140" s="48">
        <f t="shared" si="24"/>
        <v>173.7109865885377</v>
      </c>
      <c r="T140" s="48">
        <f>ASIN(R140/SQRT(P140^2+Q140^2+R140^2))*180/PI()</f>
        <v>80.9464097574264</v>
      </c>
      <c r="U140" s="49">
        <f t="shared" si="25"/>
        <v>353.7109865885377</v>
      </c>
      <c r="V140" s="48">
        <f t="shared" si="26"/>
        <v>263.7109865885377</v>
      </c>
      <c r="W140" s="50">
        <f t="shared" si="27"/>
        <v>9.053590242573605</v>
      </c>
      <c r="X140" s="51"/>
      <c r="Y140" s="52"/>
      <c r="Z140" s="53"/>
      <c r="AA140" s="40">
        <v>0</v>
      </c>
      <c r="AB140" s="43">
        <v>132</v>
      </c>
      <c r="AC140" s="54"/>
      <c r="AD140" s="55"/>
      <c r="AE140" s="49">
        <f t="shared" si="19"/>
        <v>353.7109865885377</v>
      </c>
      <c r="AF140" s="48">
        <f t="shared" si="18"/>
        <v>263.7109865885377</v>
      </c>
      <c r="AG140" s="48">
        <f t="shared" si="20"/>
        <v>9.053590242573605</v>
      </c>
      <c r="AH140" s="56"/>
      <c r="AI140" s="53"/>
    </row>
    <row r="141" spans="1:35" s="39" customFormat="1" ht="21">
      <c r="A141" s="81">
        <f>0.16+122.535</f>
        <v>122.695</v>
      </c>
      <c r="B141" s="43" t="s">
        <v>96</v>
      </c>
      <c r="C141" s="43" t="s">
        <v>72</v>
      </c>
      <c r="D141" s="43">
        <v>3</v>
      </c>
      <c r="E141" s="40" t="s">
        <v>46</v>
      </c>
      <c r="F141" s="41">
        <v>16</v>
      </c>
      <c r="G141" s="42">
        <v>16</v>
      </c>
      <c r="H141" s="1"/>
      <c r="I141" s="30"/>
      <c r="J141" s="40">
        <v>270</v>
      </c>
      <c r="K141" s="45">
        <v>1</v>
      </c>
      <c r="L141" s="45">
        <v>0</v>
      </c>
      <c r="M141" s="45">
        <v>13</v>
      </c>
      <c r="N141" s="45"/>
      <c r="O141" s="46"/>
      <c r="P141" s="47">
        <f t="shared" si="21"/>
        <v>-0.22491679320871355</v>
      </c>
      <c r="Q141" s="47">
        <f t="shared" si="22"/>
        <v>0.017005102390954232</v>
      </c>
      <c r="R141" s="47">
        <f t="shared" si="23"/>
        <v>0.9742216635049011</v>
      </c>
      <c r="S141" s="48">
        <f t="shared" si="24"/>
        <v>175.67631023429044</v>
      </c>
      <c r="T141" s="48">
        <f>ASIN(R141/SQRT(P141^2+Q141^2+R141^2))*180/PI()</f>
        <v>76.9641625374888</v>
      </c>
      <c r="U141" s="49">
        <f t="shared" si="25"/>
        <v>355.67631023429044</v>
      </c>
      <c r="V141" s="48">
        <f t="shared" si="26"/>
        <v>265.67631023429044</v>
      </c>
      <c r="W141" s="50">
        <f t="shared" si="27"/>
        <v>13.035837462511196</v>
      </c>
      <c r="X141" s="51"/>
      <c r="Y141" s="52"/>
      <c r="Z141" s="53"/>
      <c r="AA141" s="40">
        <v>0</v>
      </c>
      <c r="AB141" s="43">
        <v>130</v>
      </c>
      <c r="AC141" s="54"/>
      <c r="AD141" s="55"/>
      <c r="AE141" s="49">
        <f t="shared" si="19"/>
        <v>355.67631023429044</v>
      </c>
      <c r="AF141" s="48">
        <f t="shared" si="18"/>
        <v>265.67631023429044</v>
      </c>
      <c r="AG141" s="48">
        <f t="shared" si="20"/>
        <v>13.035837462511196</v>
      </c>
      <c r="AH141" s="56"/>
      <c r="AI141" s="53"/>
    </row>
    <row r="142" spans="1:35" s="39" customFormat="1" ht="12.75">
      <c r="A142" s="81">
        <f>0.82+122.535</f>
        <v>123.35499999999999</v>
      </c>
      <c r="B142" s="43" t="s">
        <v>96</v>
      </c>
      <c r="C142" s="43" t="s">
        <v>72</v>
      </c>
      <c r="D142" s="43">
        <v>3</v>
      </c>
      <c r="E142" s="40" t="s">
        <v>46</v>
      </c>
      <c r="F142" s="41">
        <v>82</v>
      </c>
      <c r="G142" s="42">
        <v>82</v>
      </c>
      <c r="H142" s="1"/>
      <c r="I142" s="30"/>
      <c r="J142" s="40">
        <v>270</v>
      </c>
      <c r="K142" s="45">
        <v>1</v>
      </c>
      <c r="L142" s="45">
        <v>0</v>
      </c>
      <c r="M142" s="45">
        <v>11</v>
      </c>
      <c r="N142" s="45"/>
      <c r="O142" s="46"/>
      <c r="P142" s="47">
        <f t="shared" si="21"/>
        <v>-0.19077993424234485</v>
      </c>
      <c r="Q142" s="47">
        <f t="shared" si="22"/>
        <v>0.017131756575414527</v>
      </c>
      <c r="R142" s="47">
        <f t="shared" si="23"/>
        <v>0.9814776768730069</v>
      </c>
      <c r="S142" s="48">
        <f t="shared" si="24"/>
        <v>174.86868659819888</v>
      </c>
      <c r="T142" s="48">
        <f>ASIN(R142/SQRT(P142^2+Q142^2+R142^2))*180/PI()</f>
        <v>78.9568242510489</v>
      </c>
      <c r="U142" s="49">
        <f t="shared" si="25"/>
        <v>354.8686865981989</v>
      </c>
      <c r="V142" s="48">
        <f t="shared" si="26"/>
        <v>264.8686865981989</v>
      </c>
      <c r="W142" s="50">
        <f t="shared" si="27"/>
        <v>11.0431757489511</v>
      </c>
      <c r="X142" s="51"/>
      <c r="Y142" s="52"/>
      <c r="Z142" s="53"/>
      <c r="AA142" s="40">
        <v>0</v>
      </c>
      <c r="AB142" s="43">
        <v>130</v>
      </c>
      <c r="AC142" s="54"/>
      <c r="AD142" s="55"/>
      <c r="AE142" s="49">
        <f t="shared" si="19"/>
        <v>354.8686865981989</v>
      </c>
      <c r="AF142" s="48">
        <f t="shared" si="18"/>
        <v>264.8686865981989</v>
      </c>
      <c r="AG142" s="48">
        <f t="shared" si="20"/>
        <v>11.0431757489511</v>
      </c>
      <c r="AH142" s="56"/>
      <c r="AI142" s="53"/>
    </row>
    <row r="143" spans="1:35" s="39" customFormat="1" ht="12.75">
      <c r="A143" s="81">
        <f>0.53+123.845</f>
        <v>124.375</v>
      </c>
      <c r="B143" s="43" t="s">
        <v>96</v>
      </c>
      <c r="C143" s="43" t="s">
        <v>72</v>
      </c>
      <c r="D143" s="43">
        <v>4</v>
      </c>
      <c r="E143" s="40" t="s">
        <v>46</v>
      </c>
      <c r="F143" s="41">
        <v>53</v>
      </c>
      <c r="G143" s="42">
        <v>53</v>
      </c>
      <c r="H143" s="1"/>
      <c r="I143" s="30"/>
      <c r="J143" s="40">
        <v>270</v>
      </c>
      <c r="K143" s="45">
        <v>1</v>
      </c>
      <c r="L143" s="45">
        <v>0</v>
      </c>
      <c r="M143" s="45">
        <v>5</v>
      </c>
      <c r="N143" s="45"/>
      <c r="O143" s="46"/>
      <c r="P143" s="47">
        <f t="shared" si="21"/>
        <v>-0.08714246850588939</v>
      </c>
      <c r="Q143" s="47">
        <f t="shared" si="22"/>
        <v>0.0173859947617641</v>
      </c>
      <c r="R143" s="47">
        <f t="shared" si="23"/>
        <v>0.9960429728140489</v>
      </c>
      <c r="S143" s="48">
        <f t="shared" si="24"/>
        <v>168.71693817947002</v>
      </c>
      <c r="T143" s="48">
        <f>ASIN(R143/SQRT(P143^2+Q143^2+R143^2))*180/PI()</f>
        <v>84.90197245232007</v>
      </c>
      <c r="U143" s="49">
        <f t="shared" si="25"/>
        <v>348.71693817947005</v>
      </c>
      <c r="V143" s="48">
        <f t="shared" si="26"/>
        <v>258.71693817947005</v>
      </c>
      <c r="W143" s="50">
        <f t="shared" si="27"/>
        <v>5.0980275476799335</v>
      </c>
      <c r="X143" s="51"/>
      <c r="Y143" s="52"/>
      <c r="Z143" s="53"/>
      <c r="AA143" s="40">
        <v>43</v>
      </c>
      <c r="AB143" s="43">
        <v>131</v>
      </c>
      <c r="AC143" s="54"/>
      <c r="AD143" s="55"/>
      <c r="AE143" s="49">
        <f t="shared" si="19"/>
        <v>348.71693817947005</v>
      </c>
      <c r="AF143" s="48">
        <f t="shared" si="18"/>
        <v>258.71693817947005</v>
      </c>
      <c r="AG143" s="48">
        <f t="shared" si="20"/>
        <v>5.0980275476799335</v>
      </c>
      <c r="AH143" s="56"/>
      <c r="AI143" s="53"/>
    </row>
    <row r="144" spans="1:35" s="39" customFormat="1" ht="12.75">
      <c r="A144" s="81">
        <f>0.55+125.165</f>
        <v>125.715</v>
      </c>
      <c r="B144" s="43" t="s">
        <v>96</v>
      </c>
      <c r="C144" s="43" t="s">
        <v>72</v>
      </c>
      <c r="D144" s="43">
        <v>5</v>
      </c>
      <c r="E144" s="40" t="s">
        <v>46</v>
      </c>
      <c r="F144" s="41">
        <v>55</v>
      </c>
      <c r="G144" s="42">
        <v>57</v>
      </c>
      <c r="H144" s="1"/>
      <c r="I144" s="30"/>
      <c r="J144" s="40">
        <v>90</v>
      </c>
      <c r="K144" s="45">
        <v>17</v>
      </c>
      <c r="L144" s="45">
        <v>180</v>
      </c>
      <c r="M144" s="45">
        <v>4</v>
      </c>
      <c r="N144" s="45"/>
      <c r="O144" s="46"/>
      <c r="P144" s="47">
        <f t="shared" si="21"/>
        <v>0.06670844760071759</v>
      </c>
      <c r="Q144" s="47">
        <f t="shared" si="22"/>
        <v>-0.2916595019445827</v>
      </c>
      <c r="R144" s="47">
        <f t="shared" si="23"/>
        <v>0.9539752456412184</v>
      </c>
      <c r="S144" s="48">
        <f t="shared" si="24"/>
        <v>282.8831072738946</v>
      </c>
      <c r="T144" s="48">
        <f>ASIN(R144/SQRT(P144^2+Q144^2+R144^2))*180/PI()</f>
        <v>72.5872405063514</v>
      </c>
      <c r="U144" s="49">
        <f t="shared" si="25"/>
        <v>102.88310727389461</v>
      </c>
      <c r="V144" s="48">
        <f t="shared" si="26"/>
        <v>12.883107273894609</v>
      </c>
      <c r="W144" s="50">
        <f t="shared" si="27"/>
        <v>17.412759493648593</v>
      </c>
      <c r="X144" s="51"/>
      <c r="Y144" s="52"/>
      <c r="Z144" s="53"/>
      <c r="AA144" s="40">
        <v>0</v>
      </c>
      <c r="AB144" s="43">
        <v>103</v>
      </c>
      <c r="AC144" s="54"/>
      <c r="AD144" s="55"/>
      <c r="AE144" s="49">
        <f t="shared" si="19"/>
        <v>102.88310727389461</v>
      </c>
      <c r="AF144" s="48">
        <f t="shared" si="18"/>
        <v>12.883107273894609</v>
      </c>
      <c r="AG144" s="48">
        <f t="shared" si="20"/>
        <v>17.412759493648593</v>
      </c>
      <c r="AH144" s="56"/>
      <c r="AI144" s="53"/>
    </row>
    <row r="145" spans="1:35" s="39" customFormat="1" ht="12.75">
      <c r="A145" s="81">
        <f>126.82+0.29</f>
        <v>127.11</v>
      </c>
      <c r="B145" s="43" t="s">
        <v>96</v>
      </c>
      <c r="C145" s="43" t="s">
        <v>74</v>
      </c>
      <c r="D145" s="43">
        <v>3</v>
      </c>
      <c r="E145" s="40" t="s">
        <v>46</v>
      </c>
      <c r="F145" s="41">
        <v>29</v>
      </c>
      <c r="G145" s="42">
        <v>30</v>
      </c>
      <c r="H145" s="1"/>
      <c r="I145" s="30"/>
      <c r="J145" s="40">
        <v>270</v>
      </c>
      <c r="K145" s="45">
        <v>20</v>
      </c>
      <c r="L145" s="45">
        <v>0</v>
      </c>
      <c r="M145" s="45">
        <v>6</v>
      </c>
      <c r="N145" s="45"/>
      <c r="O145" s="46"/>
      <c r="P145" s="47">
        <f t="shared" si="21"/>
        <v>-0.09822462559470484</v>
      </c>
      <c r="Q145" s="47">
        <f t="shared" si="22"/>
        <v>0.34014652119437255</v>
      </c>
      <c r="R145" s="47">
        <f t="shared" si="23"/>
        <v>0.9345448862875817</v>
      </c>
      <c r="S145" s="48">
        <f t="shared" si="24"/>
        <v>106.10721092616517</v>
      </c>
      <c r="T145" s="48">
        <f>ASIN(R145/SQRT(P145^2+Q145^2+R145^2))*180/PI()</f>
        <v>69.25120988410394</v>
      </c>
      <c r="U145" s="49">
        <f t="shared" si="25"/>
        <v>286.1072109261652</v>
      </c>
      <c r="V145" s="48">
        <f t="shared" si="26"/>
        <v>196.10721092616518</v>
      </c>
      <c r="W145" s="50">
        <f t="shared" si="27"/>
        <v>20.748790115896057</v>
      </c>
      <c r="X145" s="51"/>
      <c r="Y145" s="52"/>
      <c r="Z145" s="53"/>
      <c r="AA145" s="40">
        <v>3</v>
      </c>
      <c r="AB145" s="43">
        <v>48</v>
      </c>
      <c r="AC145" s="54"/>
      <c r="AD145" s="55"/>
      <c r="AE145" s="49">
        <f t="shared" si="19"/>
        <v>286.1072109261652</v>
      </c>
      <c r="AF145" s="48">
        <f t="shared" si="18"/>
        <v>196.10721092616518</v>
      </c>
      <c r="AG145" s="48">
        <f t="shared" si="20"/>
        <v>20.748790115896057</v>
      </c>
      <c r="AH145" s="56"/>
      <c r="AI145" s="53"/>
    </row>
    <row r="146" spans="1:35" s="39" customFormat="1" ht="12.75">
      <c r="A146" s="81">
        <f>0.18+127.335</f>
        <v>127.515</v>
      </c>
      <c r="B146" s="43" t="s">
        <v>96</v>
      </c>
      <c r="C146" s="43" t="s">
        <v>74</v>
      </c>
      <c r="D146" s="43">
        <v>4</v>
      </c>
      <c r="E146" s="40" t="s">
        <v>46</v>
      </c>
      <c r="F146" s="41">
        <v>18</v>
      </c>
      <c r="G146" s="42">
        <v>19</v>
      </c>
      <c r="H146" s="1"/>
      <c r="I146" s="30"/>
      <c r="J146" s="40">
        <v>270</v>
      </c>
      <c r="K146" s="45">
        <v>10</v>
      </c>
      <c r="L146" s="45">
        <v>180</v>
      </c>
      <c r="M146" s="45">
        <v>19</v>
      </c>
      <c r="N146" s="45"/>
      <c r="O146" s="46"/>
      <c r="P146" s="47">
        <f t="shared" si="21"/>
        <v>-0.3206220426432839</v>
      </c>
      <c r="Q146" s="47">
        <f t="shared" si="22"/>
        <v>-0.16418757760305303</v>
      </c>
      <c r="R146" s="47">
        <f t="shared" si="23"/>
        <v>-0.9311540238672668</v>
      </c>
      <c r="S146" s="48">
        <f t="shared" si="24"/>
        <v>207.11656526399094</v>
      </c>
      <c r="T146" s="48">
        <f>ASIN(R146/SQRT(P146^2+Q146^2+R146^2))*180/PI()</f>
        <v>-68.85105148714071</v>
      </c>
      <c r="U146" s="49">
        <f t="shared" si="25"/>
        <v>207.11656526399094</v>
      </c>
      <c r="V146" s="48">
        <f t="shared" si="26"/>
        <v>117.11656526399094</v>
      </c>
      <c r="W146" s="50">
        <f t="shared" si="27"/>
        <v>21.148948512859292</v>
      </c>
      <c r="X146" s="51"/>
      <c r="Y146" s="52"/>
      <c r="Z146" s="53"/>
      <c r="AA146" s="40">
        <v>0</v>
      </c>
      <c r="AB146" s="43">
        <v>67</v>
      </c>
      <c r="AC146" s="54"/>
      <c r="AD146" s="55"/>
      <c r="AE146" s="49">
        <f t="shared" si="19"/>
        <v>207.11656526399094</v>
      </c>
      <c r="AF146" s="48">
        <f t="shared" si="18"/>
        <v>117.11656526399094</v>
      </c>
      <c r="AG146" s="48">
        <f t="shared" si="20"/>
        <v>21.148948512859292</v>
      </c>
      <c r="AH146" s="56"/>
      <c r="AI146" s="53"/>
    </row>
    <row r="147" spans="1:35" s="39" customFormat="1" ht="12.75">
      <c r="A147" s="81">
        <f>0.43+127.335</f>
        <v>127.765</v>
      </c>
      <c r="B147" s="43" t="s">
        <v>96</v>
      </c>
      <c r="C147" s="43" t="s">
        <v>74</v>
      </c>
      <c r="D147" s="43">
        <v>4</v>
      </c>
      <c r="E147" s="40" t="s">
        <v>46</v>
      </c>
      <c r="F147" s="41">
        <v>43</v>
      </c>
      <c r="G147" s="42">
        <v>43</v>
      </c>
      <c r="H147" s="1"/>
      <c r="I147" s="30"/>
      <c r="J147" s="40">
        <v>270</v>
      </c>
      <c r="K147" s="45">
        <v>1</v>
      </c>
      <c r="L147" s="45">
        <v>0</v>
      </c>
      <c r="M147" s="45">
        <v>5</v>
      </c>
      <c r="N147" s="45"/>
      <c r="O147" s="46"/>
      <c r="P147" s="47">
        <f t="shared" si="21"/>
        <v>-0.08714246850588939</v>
      </c>
      <c r="Q147" s="47">
        <f t="shared" si="22"/>
        <v>0.0173859947617641</v>
      </c>
      <c r="R147" s="47">
        <f t="shared" si="23"/>
        <v>0.9960429728140489</v>
      </c>
      <c r="S147" s="48">
        <f t="shared" si="24"/>
        <v>168.71693817947002</v>
      </c>
      <c r="T147" s="48">
        <f>ASIN(R147/SQRT(P147^2+Q147^2+R147^2))*180/PI()</f>
        <v>84.90197245232007</v>
      </c>
      <c r="U147" s="49">
        <f t="shared" si="25"/>
        <v>348.71693817947005</v>
      </c>
      <c r="V147" s="48">
        <f t="shared" si="26"/>
        <v>258.71693817947005</v>
      </c>
      <c r="W147" s="50">
        <f t="shared" si="27"/>
        <v>5.0980275476799335</v>
      </c>
      <c r="X147" s="51"/>
      <c r="Y147" s="52"/>
      <c r="Z147" s="53"/>
      <c r="AA147" s="40">
        <v>0</v>
      </c>
      <c r="AB147" s="43">
        <v>67</v>
      </c>
      <c r="AC147" s="54"/>
      <c r="AD147" s="55"/>
      <c r="AE147" s="49">
        <f t="shared" si="19"/>
        <v>348.71693817947005</v>
      </c>
      <c r="AF147" s="48">
        <f t="shared" si="18"/>
        <v>258.71693817947005</v>
      </c>
      <c r="AG147" s="48">
        <f t="shared" si="20"/>
        <v>5.0980275476799335</v>
      </c>
      <c r="AH147" s="56"/>
      <c r="AI147" s="53"/>
    </row>
    <row r="148" spans="1:35" s="39" customFormat="1" ht="12.75">
      <c r="A148" s="81">
        <f>131.335+0.08</f>
        <v>131.41500000000002</v>
      </c>
      <c r="B148" s="43" t="s">
        <v>96</v>
      </c>
      <c r="C148" s="43" t="s">
        <v>76</v>
      </c>
      <c r="D148" s="43">
        <v>2</v>
      </c>
      <c r="E148" s="40" t="s">
        <v>46</v>
      </c>
      <c r="F148" s="41">
        <v>8</v>
      </c>
      <c r="G148" s="42">
        <v>8</v>
      </c>
      <c r="H148" s="1"/>
      <c r="I148" s="30"/>
      <c r="J148" s="40">
        <v>90</v>
      </c>
      <c r="K148" s="45">
        <v>2</v>
      </c>
      <c r="L148" s="45">
        <v>180</v>
      </c>
      <c r="M148" s="45">
        <v>2</v>
      </c>
      <c r="N148" s="45"/>
      <c r="O148" s="46"/>
      <c r="P148" s="47">
        <f t="shared" si="21"/>
        <v>0.034878236872062644</v>
      </c>
      <c r="Q148" s="47">
        <f t="shared" si="22"/>
        <v>-0.03487823687206265</v>
      </c>
      <c r="R148" s="47">
        <f t="shared" si="23"/>
        <v>0.9987820251299122</v>
      </c>
      <c r="S148" s="48">
        <f t="shared" si="24"/>
        <v>315</v>
      </c>
      <c r="T148" s="48">
        <f>ASIN(R148/SQRT(P148^2+Q148^2+R148^2))*180/PI()</f>
        <v>87.17272054092648</v>
      </c>
      <c r="U148" s="49">
        <f t="shared" si="25"/>
        <v>135</v>
      </c>
      <c r="V148" s="48">
        <f t="shared" si="26"/>
        <v>45</v>
      </c>
      <c r="W148" s="50">
        <f t="shared" si="27"/>
        <v>2.827279459073523</v>
      </c>
      <c r="X148" s="51"/>
      <c r="Y148" s="52"/>
      <c r="Z148" s="53"/>
      <c r="AA148" s="40">
        <v>0</v>
      </c>
      <c r="AB148" s="43">
        <v>36</v>
      </c>
      <c r="AC148" s="54"/>
      <c r="AD148" s="55"/>
      <c r="AE148" s="49">
        <f t="shared" si="19"/>
        <v>135</v>
      </c>
      <c r="AF148" s="48">
        <f t="shared" si="18"/>
        <v>45</v>
      </c>
      <c r="AG148" s="48">
        <f t="shared" si="20"/>
        <v>2.827279459073523</v>
      </c>
      <c r="AH148" s="56"/>
      <c r="AI148" s="53"/>
    </row>
    <row r="149" spans="1:35" s="39" customFormat="1" ht="12.75">
      <c r="A149" s="81">
        <f>131.335+1.19</f>
        <v>132.525</v>
      </c>
      <c r="B149" s="43" t="s">
        <v>96</v>
      </c>
      <c r="C149" s="43" t="s">
        <v>76</v>
      </c>
      <c r="D149" s="43">
        <v>2</v>
      </c>
      <c r="E149" s="40" t="s">
        <v>46</v>
      </c>
      <c r="F149" s="41">
        <v>119</v>
      </c>
      <c r="G149" s="42">
        <v>119</v>
      </c>
      <c r="H149" s="1"/>
      <c r="I149" s="30"/>
      <c r="J149" s="40">
        <v>90</v>
      </c>
      <c r="K149" s="45">
        <v>3</v>
      </c>
      <c r="L149" s="45">
        <v>180</v>
      </c>
      <c r="M149" s="45">
        <v>5</v>
      </c>
      <c r="N149" s="45"/>
      <c r="O149" s="46"/>
      <c r="P149" s="47">
        <f t="shared" si="21"/>
        <v>0.0870362988312832</v>
      </c>
      <c r="Q149" s="47">
        <f t="shared" si="22"/>
        <v>-0.05213680212878224</v>
      </c>
      <c r="R149" s="47">
        <f t="shared" si="23"/>
        <v>0.994829447880333</v>
      </c>
      <c r="S149" s="48">
        <f t="shared" si="24"/>
        <v>329.07739373007206</v>
      </c>
      <c r="T149" s="48">
        <f>ASIN(R149/SQRT(P149^2+Q149^2+R149^2))*180/PI()</f>
        <v>84.17685049823567</v>
      </c>
      <c r="U149" s="49">
        <f t="shared" si="25"/>
        <v>149.07739373007206</v>
      </c>
      <c r="V149" s="48">
        <f t="shared" si="26"/>
        <v>59.07739373007206</v>
      </c>
      <c r="W149" s="50">
        <f t="shared" si="27"/>
        <v>5.823149501764334</v>
      </c>
      <c r="X149" s="51"/>
      <c r="Y149" s="52"/>
      <c r="Z149" s="53"/>
      <c r="AA149" s="40">
        <v>68</v>
      </c>
      <c r="AB149" s="43">
        <v>130</v>
      </c>
      <c r="AC149" s="54"/>
      <c r="AD149" s="55"/>
      <c r="AE149" s="49">
        <f t="shared" si="19"/>
        <v>149.07739373007206</v>
      </c>
      <c r="AF149" s="48">
        <f t="shared" si="18"/>
        <v>59.07739373007206</v>
      </c>
      <c r="AG149" s="48">
        <f t="shared" si="20"/>
        <v>5.823149501764334</v>
      </c>
      <c r="AH149" s="56"/>
      <c r="AI149" s="53"/>
    </row>
    <row r="150" spans="1:35" s="39" customFormat="1" ht="21">
      <c r="A150" s="81">
        <f>133.55+0.19</f>
        <v>133.74</v>
      </c>
      <c r="B150" s="43" t="s">
        <v>96</v>
      </c>
      <c r="C150" s="43" t="s">
        <v>76</v>
      </c>
      <c r="D150" s="43">
        <v>4</v>
      </c>
      <c r="E150" s="40" t="s">
        <v>46</v>
      </c>
      <c r="F150" s="41">
        <v>19</v>
      </c>
      <c r="G150" s="42">
        <v>19</v>
      </c>
      <c r="H150" s="1"/>
      <c r="I150" s="30"/>
      <c r="J150" s="40">
        <v>90</v>
      </c>
      <c r="K150" s="45">
        <v>2</v>
      </c>
      <c r="L150" s="45">
        <v>180</v>
      </c>
      <c r="M150" s="45">
        <v>10</v>
      </c>
      <c r="N150" s="45"/>
      <c r="O150" s="46"/>
      <c r="P150" s="47">
        <f t="shared" si="21"/>
        <v>0.17354239588891238</v>
      </c>
      <c r="Q150" s="47">
        <f t="shared" si="22"/>
        <v>-0.03436929492884696</v>
      </c>
      <c r="R150" s="47">
        <f t="shared" si="23"/>
        <v>0.9842078347376879</v>
      </c>
      <c r="S150" s="48">
        <f t="shared" si="24"/>
        <v>348.79778400118875</v>
      </c>
      <c r="T150" s="48">
        <f>ASIN(R150/SQRT(P150^2+Q150^2+R150^2))*180/PI()</f>
        <v>79.80980839139355</v>
      </c>
      <c r="U150" s="49">
        <f t="shared" si="25"/>
        <v>168.79778400118875</v>
      </c>
      <c r="V150" s="48">
        <f t="shared" si="26"/>
        <v>78.79778400118875</v>
      </c>
      <c r="W150" s="50">
        <f t="shared" si="27"/>
        <v>10.190191608606455</v>
      </c>
      <c r="X150" s="51"/>
      <c r="Y150" s="52"/>
      <c r="Z150" s="53"/>
      <c r="AA150" s="40">
        <v>0</v>
      </c>
      <c r="AB150" s="43">
        <v>40</v>
      </c>
      <c r="AC150" s="54"/>
      <c r="AD150" s="55"/>
      <c r="AE150" s="49">
        <f t="shared" si="19"/>
        <v>168.79778400118875</v>
      </c>
      <c r="AF150" s="48">
        <f t="shared" si="18"/>
        <v>78.79778400118875</v>
      </c>
      <c r="AG150" s="48">
        <f t="shared" si="20"/>
        <v>10.190191608606455</v>
      </c>
      <c r="AH150" s="56"/>
      <c r="AI150" s="53"/>
    </row>
    <row r="151" spans="1:35" s="39" customFormat="1" ht="12.75">
      <c r="A151" s="81">
        <f>133.55+0.57</f>
        <v>134.12</v>
      </c>
      <c r="B151" s="43" t="s">
        <v>96</v>
      </c>
      <c r="C151" s="43" t="s">
        <v>76</v>
      </c>
      <c r="D151" s="43">
        <v>4</v>
      </c>
      <c r="E151" s="40" t="s">
        <v>46</v>
      </c>
      <c r="F151" s="41">
        <v>57</v>
      </c>
      <c r="G151" s="42">
        <v>57</v>
      </c>
      <c r="H151" s="1"/>
      <c r="I151" s="30"/>
      <c r="J151" s="40">
        <v>90</v>
      </c>
      <c r="K151" s="45">
        <v>1</v>
      </c>
      <c r="L151" s="45">
        <v>180</v>
      </c>
      <c r="M151" s="45">
        <v>12</v>
      </c>
      <c r="N151" s="45"/>
      <c r="O151" s="46"/>
      <c r="P151" s="47">
        <f t="shared" si="21"/>
        <v>0.20788002486020488</v>
      </c>
      <c r="Q151" s="47">
        <f t="shared" si="22"/>
        <v>-0.017071029483660106</v>
      </c>
      <c r="R151" s="47">
        <f t="shared" si="23"/>
        <v>0.9779986241164497</v>
      </c>
      <c r="S151" s="48">
        <f t="shared" si="24"/>
        <v>355.305426045184</v>
      </c>
      <c r="T151" s="48">
        <f>ASIN(R151/SQRT(P151^2+Q151^2+R151^2))*180/PI()</f>
        <v>77.96078282984092</v>
      </c>
      <c r="U151" s="49">
        <f t="shared" si="25"/>
        <v>175.305426045184</v>
      </c>
      <c r="V151" s="48">
        <f t="shared" si="26"/>
        <v>85.30542604518399</v>
      </c>
      <c r="W151" s="50">
        <f t="shared" si="27"/>
        <v>12.039217170159077</v>
      </c>
      <c r="X151" s="51"/>
      <c r="Y151" s="52"/>
      <c r="Z151" s="53"/>
      <c r="AA151" s="40">
        <v>53</v>
      </c>
      <c r="AB151" s="43">
        <v>85</v>
      </c>
      <c r="AC151" s="54"/>
      <c r="AD151" s="55"/>
      <c r="AE151" s="49">
        <f t="shared" si="19"/>
        <v>175.305426045184</v>
      </c>
      <c r="AF151" s="48">
        <f t="shared" si="18"/>
        <v>85.30542604518399</v>
      </c>
      <c r="AG151" s="48">
        <f t="shared" si="20"/>
        <v>12.039217170159077</v>
      </c>
      <c r="AH151" s="56"/>
      <c r="AI151" s="53"/>
    </row>
    <row r="152" spans="1:35" s="39" customFormat="1" ht="12.75">
      <c r="A152" s="81">
        <v>143.115</v>
      </c>
      <c r="B152" s="43" t="s">
        <v>96</v>
      </c>
      <c r="C152" s="43" t="s">
        <v>77</v>
      </c>
      <c r="D152" s="43">
        <v>4</v>
      </c>
      <c r="E152" s="40" t="s">
        <v>102</v>
      </c>
      <c r="F152" s="41">
        <v>8</v>
      </c>
      <c r="G152" s="42">
        <v>14</v>
      </c>
      <c r="H152" s="1"/>
      <c r="I152" s="30"/>
      <c r="J152" s="40">
        <v>90</v>
      </c>
      <c r="K152" s="45">
        <v>64</v>
      </c>
      <c r="L152" s="45">
        <v>0</v>
      </c>
      <c r="M152" s="45">
        <v>34</v>
      </c>
      <c r="N152" s="45"/>
      <c r="O152" s="46"/>
      <c r="P152" s="47">
        <f t="shared" si="21"/>
        <v>0.24513403437078518</v>
      </c>
      <c r="Q152" s="47">
        <f t="shared" si="22"/>
        <v>0.7451340343707852</v>
      </c>
      <c r="R152" s="47">
        <f t="shared" si="23"/>
        <v>-0.36342615141218654</v>
      </c>
      <c r="S152" s="48">
        <f t="shared" si="24"/>
        <v>71.78983956789772</v>
      </c>
      <c r="T152" s="48">
        <f>ASIN(R152/SQRT(P152^2+Q152^2+R152^2))*180/PI()</f>
        <v>-24.85853973278614</v>
      </c>
      <c r="U152" s="49">
        <f t="shared" si="25"/>
        <v>71.78983956789772</v>
      </c>
      <c r="V152" s="48">
        <f t="shared" si="26"/>
        <v>341.78983956789773</v>
      </c>
      <c r="W152" s="50">
        <f t="shared" si="27"/>
        <v>65.14146026721386</v>
      </c>
      <c r="X152" s="51"/>
      <c r="Y152" s="52"/>
      <c r="Z152" s="53"/>
      <c r="AA152" s="40">
        <v>0</v>
      </c>
      <c r="AB152" s="43">
        <v>24</v>
      </c>
      <c r="AC152" s="54"/>
      <c r="AD152" s="55"/>
      <c r="AE152" s="49">
        <f t="shared" si="19"/>
        <v>71.78983956789772</v>
      </c>
      <c r="AF152" s="48">
        <f t="shared" si="18"/>
        <v>341.78983956789773</v>
      </c>
      <c r="AG152" s="48">
        <f t="shared" si="20"/>
        <v>65.14146026721386</v>
      </c>
      <c r="AH152" s="56"/>
      <c r="AI152" s="53"/>
    </row>
    <row r="153" spans="1:35" s="39" customFormat="1" ht="12.75">
      <c r="A153" s="81">
        <v>143.115</v>
      </c>
      <c r="B153" s="43" t="s">
        <v>96</v>
      </c>
      <c r="C153" s="43" t="s">
        <v>77</v>
      </c>
      <c r="D153" s="43">
        <v>4</v>
      </c>
      <c r="E153" s="40" t="s">
        <v>102</v>
      </c>
      <c r="F153" s="41">
        <v>8</v>
      </c>
      <c r="G153" s="42">
        <v>14</v>
      </c>
      <c r="H153" s="1"/>
      <c r="I153" s="30"/>
      <c r="J153" s="40">
        <v>270</v>
      </c>
      <c r="K153" s="45">
        <v>76</v>
      </c>
      <c r="L153" s="45">
        <v>180</v>
      </c>
      <c r="M153" s="45">
        <v>34</v>
      </c>
      <c r="N153" s="45"/>
      <c r="O153" s="46"/>
      <c r="P153" s="47">
        <f t="shared" si="21"/>
        <v>-0.13528100721352532</v>
      </c>
      <c r="Q153" s="47">
        <f t="shared" si="22"/>
        <v>-0.8044116135723832</v>
      </c>
      <c r="R153" s="47">
        <f t="shared" si="23"/>
        <v>-0.20056234107586288</v>
      </c>
      <c r="S153" s="48">
        <f t="shared" si="24"/>
        <v>260.4536764287047</v>
      </c>
      <c r="T153" s="48">
        <f>ASIN(R153/SQRT(P153^2+Q153^2+R153^2))*180/PI()</f>
        <v>-13.813600540711372</v>
      </c>
      <c r="U153" s="49">
        <f t="shared" si="25"/>
        <v>260.4536764287047</v>
      </c>
      <c r="V153" s="48">
        <f t="shared" si="26"/>
        <v>170.45367642870468</v>
      </c>
      <c r="W153" s="50">
        <f t="shared" si="27"/>
        <v>76.18639945928862</v>
      </c>
      <c r="X153" s="51"/>
      <c r="Y153" s="52"/>
      <c r="Z153" s="53"/>
      <c r="AA153" s="40">
        <v>0</v>
      </c>
      <c r="AB153" s="43">
        <v>24</v>
      </c>
      <c r="AC153" s="54"/>
      <c r="AD153" s="55"/>
      <c r="AE153" s="49">
        <f t="shared" si="19"/>
        <v>260.4536764287047</v>
      </c>
      <c r="AF153" s="48">
        <f t="shared" si="18"/>
        <v>170.45367642870468</v>
      </c>
      <c r="AG153" s="48">
        <f t="shared" si="20"/>
        <v>76.18639945928862</v>
      </c>
      <c r="AH153" s="56"/>
      <c r="AI153" s="53"/>
    </row>
    <row r="154" spans="1:35" s="39" customFormat="1" ht="21">
      <c r="A154" s="81">
        <v>148.655</v>
      </c>
      <c r="B154" s="43" t="s">
        <v>96</v>
      </c>
      <c r="C154" s="43" t="s">
        <v>77</v>
      </c>
      <c r="D154" s="43" t="s">
        <v>52</v>
      </c>
      <c r="E154" s="40" t="s">
        <v>46</v>
      </c>
      <c r="F154" s="41">
        <v>52</v>
      </c>
      <c r="G154" s="42">
        <v>52</v>
      </c>
      <c r="H154" s="1"/>
      <c r="I154" s="30"/>
      <c r="J154" s="40">
        <v>90</v>
      </c>
      <c r="K154" s="45">
        <v>0</v>
      </c>
      <c r="L154" s="45">
        <v>180</v>
      </c>
      <c r="M154" s="45">
        <v>5</v>
      </c>
      <c r="N154" s="45"/>
      <c r="O154" s="46"/>
      <c r="P154" s="47">
        <f t="shared" si="21"/>
        <v>0.08715574274765817</v>
      </c>
      <c r="Q154" s="47">
        <f t="shared" si="22"/>
        <v>-5.336750069161486E-18</v>
      </c>
      <c r="R154" s="47">
        <f t="shared" si="23"/>
        <v>0.9961946980917455</v>
      </c>
      <c r="S154" s="48">
        <f t="shared" si="24"/>
        <v>360</v>
      </c>
      <c r="T154" s="48">
        <f>ASIN(R154/SQRT(P154^2+Q154^2+R154^2))*180/PI()</f>
        <v>85</v>
      </c>
      <c r="U154" s="49">
        <f t="shared" si="25"/>
        <v>180</v>
      </c>
      <c r="V154" s="48">
        <f t="shared" si="26"/>
        <v>90</v>
      </c>
      <c r="W154" s="50">
        <f t="shared" si="27"/>
        <v>5</v>
      </c>
      <c r="X154" s="51"/>
      <c r="Y154" s="52"/>
      <c r="Z154" s="53"/>
      <c r="AA154" s="40">
        <v>0</v>
      </c>
      <c r="AB154" s="43">
        <v>54</v>
      </c>
      <c r="AC154" s="54"/>
      <c r="AD154" s="55"/>
      <c r="AE154" s="49">
        <f t="shared" si="19"/>
        <v>180</v>
      </c>
      <c r="AF154" s="48">
        <f t="shared" si="18"/>
        <v>90</v>
      </c>
      <c r="AG154" s="48">
        <f t="shared" si="20"/>
        <v>5</v>
      </c>
      <c r="AH154" s="56"/>
      <c r="AI154" s="53"/>
    </row>
    <row r="155" spans="1:35" s="39" customFormat="1" ht="12.75">
      <c r="A155" s="81">
        <v>148.75</v>
      </c>
      <c r="B155" s="43" t="s">
        <v>96</v>
      </c>
      <c r="C155" s="43" t="s">
        <v>112</v>
      </c>
      <c r="D155" s="43">
        <v>1</v>
      </c>
      <c r="E155" s="40" t="s">
        <v>102</v>
      </c>
      <c r="F155" s="41">
        <v>15</v>
      </c>
      <c r="G155" s="42">
        <v>23</v>
      </c>
      <c r="H155" s="1"/>
      <c r="I155" s="30"/>
      <c r="J155" s="40">
        <v>270</v>
      </c>
      <c r="K155" s="45">
        <v>65</v>
      </c>
      <c r="L155" s="45">
        <v>0</v>
      </c>
      <c r="M155" s="45">
        <v>25</v>
      </c>
      <c r="N155" s="45"/>
      <c r="O155" s="46"/>
      <c r="P155" s="47">
        <f t="shared" si="21"/>
        <v>-0.17860619515673035</v>
      </c>
      <c r="Q155" s="47">
        <f t="shared" si="22"/>
        <v>0.8213938048432696</v>
      </c>
      <c r="R155" s="47">
        <f t="shared" si="23"/>
        <v>0.383022221559489</v>
      </c>
      <c r="S155" s="48">
        <f t="shared" si="24"/>
        <v>102.26759279038765</v>
      </c>
      <c r="T155" s="48">
        <f>ASIN(R155/SQRT(P155^2+Q155^2+R155^2))*180/PI()</f>
        <v>24.49685409561915</v>
      </c>
      <c r="U155" s="49">
        <f t="shared" si="25"/>
        <v>282.26759279038765</v>
      </c>
      <c r="V155" s="48">
        <f t="shared" si="26"/>
        <v>192.26759279038765</v>
      </c>
      <c r="W155" s="50">
        <f t="shared" si="27"/>
        <v>65.50314590438086</v>
      </c>
      <c r="X155" s="51"/>
      <c r="Y155" s="52"/>
      <c r="Z155" s="53"/>
      <c r="AA155" s="40">
        <v>0</v>
      </c>
      <c r="AB155" s="43">
        <v>60</v>
      </c>
      <c r="AC155" s="54"/>
      <c r="AD155" s="55"/>
      <c r="AE155" s="49">
        <f t="shared" si="19"/>
        <v>282.26759279038765</v>
      </c>
      <c r="AF155" s="48">
        <f t="shared" si="18"/>
        <v>192.26759279038765</v>
      </c>
      <c r="AG155" s="48">
        <f t="shared" si="20"/>
        <v>65.50314590438086</v>
      </c>
      <c r="AH155" s="56"/>
      <c r="AI155" s="53"/>
    </row>
    <row r="156" spans="1:35" s="39" customFormat="1" ht="21">
      <c r="A156" s="81">
        <v>151.07</v>
      </c>
      <c r="B156" s="43" t="s">
        <v>96</v>
      </c>
      <c r="C156" s="43" t="s">
        <v>112</v>
      </c>
      <c r="D156" s="43">
        <v>5</v>
      </c>
      <c r="E156" s="40" t="s">
        <v>46</v>
      </c>
      <c r="F156" s="41">
        <v>42</v>
      </c>
      <c r="G156" s="42">
        <v>42</v>
      </c>
      <c r="H156" s="1"/>
      <c r="I156" s="30"/>
      <c r="J156" s="40">
        <v>270</v>
      </c>
      <c r="K156" s="45">
        <v>12</v>
      </c>
      <c r="L156" s="45">
        <v>180</v>
      </c>
      <c r="M156" s="45">
        <v>0</v>
      </c>
      <c r="N156" s="45"/>
      <c r="O156" s="46"/>
      <c r="P156" s="47">
        <f t="shared" si="21"/>
        <v>-2.546183866652831E-17</v>
      </c>
      <c r="Q156" s="47">
        <f t="shared" si="22"/>
        <v>-0.20791169081775931</v>
      </c>
      <c r="R156" s="47">
        <f t="shared" si="23"/>
        <v>-0.9781476007338057</v>
      </c>
      <c r="S156" s="48">
        <f t="shared" si="24"/>
        <v>270</v>
      </c>
      <c r="T156" s="48">
        <f>ASIN(R156/SQRT(P156^2+Q156^2+R156^2))*180/PI()</f>
        <v>-78</v>
      </c>
      <c r="U156" s="49">
        <f t="shared" si="25"/>
        <v>270</v>
      </c>
      <c r="V156" s="48">
        <f t="shared" si="26"/>
        <v>180</v>
      </c>
      <c r="W156" s="50">
        <f t="shared" si="27"/>
        <v>12</v>
      </c>
      <c r="X156" s="51"/>
      <c r="Y156" s="52"/>
      <c r="Z156" s="53"/>
      <c r="AA156" s="40">
        <v>0</v>
      </c>
      <c r="AB156" s="43">
        <v>104</v>
      </c>
      <c r="AC156" s="54"/>
      <c r="AD156" s="55"/>
      <c r="AE156" s="49">
        <f t="shared" si="19"/>
        <v>270</v>
      </c>
      <c r="AF156" s="48">
        <f t="shared" si="18"/>
        <v>180</v>
      </c>
      <c r="AG156" s="48">
        <f t="shared" si="20"/>
        <v>12</v>
      </c>
      <c r="AH156" s="56"/>
      <c r="AI156" s="53"/>
    </row>
    <row r="157" spans="1:35" s="39" customFormat="1" ht="12.75">
      <c r="A157" s="81">
        <v>151.15</v>
      </c>
      <c r="B157" s="43" t="s">
        <v>96</v>
      </c>
      <c r="C157" s="43" t="s">
        <v>112</v>
      </c>
      <c r="D157" s="43">
        <v>5</v>
      </c>
      <c r="E157" s="40" t="s">
        <v>102</v>
      </c>
      <c r="F157" s="41">
        <v>50</v>
      </c>
      <c r="G157" s="42">
        <v>66</v>
      </c>
      <c r="H157" s="1"/>
      <c r="I157" s="30"/>
      <c r="J157" s="40">
        <v>90</v>
      </c>
      <c r="K157" s="45">
        <v>70</v>
      </c>
      <c r="L157" s="45">
        <v>0</v>
      </c>
      <c r="M157" s="45">
        <v>1</v>
      </c>
      <c r="N157" s="45"/>
      <c r="O157" s="46"/>
      <c r="P157" s="47">
        <f t="shared" si="21"/>
        <v>0.005969074551057532</v>
      </c>
      <c r="Q157" s="47">
        <f t="shared" si="22"/>
        <v>0.9395495010482593</v>
      </c>
      <c r="R157" s="47">
        <f t="shared" si="23"/>
        <v>-0.3419680520012286</v>
      </c>
      <c r="S157" s="48">
        <f t="shared" si="24"/>
        <v>89.63599770126228</v>
      </c>
      <c r="T157" s="48">
        <f>ASIN(R157/SQRT(P157^2+Q157^2+R157^2))*180/PI()</f>
        <v>-19.999628385466842</v>
      </c>
      <c r="U157" s="49">
        <f t="shared" si="25"/>
        <v>89.63599770126228</v>
      </c>
      <c r="V157" s="48">
        <f t="shared" si="26"/>
        <v>359.6359977012623</v>
      </c>
      <c r="W157" s="50">
        <f t="shared" si="27"/>
        <v>70.00037161453315</v>
      </c>
      <c r="X157" s="51"/>
      <c r="Y157" s="52"/>
      <c r="Z157" s="53"/>
      <c r="AA157" s="40">
        <v>0</v>
      </c>
      <c r="AB157" s="43">
        <v>104</v>
      </c>
      <c r="AC157" s="54"/>
      <c r="AD157" s="55"/>
      <c r="AE157" s="49">
        <f t="shared" si="19"/>
        <v>89.63599770126228</v>
      </c>
      <c r="AF157" s="48">
        <f t="shared" si="18"/>
        <v>359.6359977012623</v>
      </c>
      <c r="AG157" s="48">
        <f t="shared" si="20"/>
        <v>70.00037161453315</v>
      </c>
      <c r="AH157" s="56"/>
      <c r="AI157" s="53"/>
    </row>
    <row r="158" spans="1:35" s="39" customFormat="1" ht="21">
      <c r="A158" s="81">
        <v>151.31</v>
      </c>
      <c r="B158" s="43" t="s">
        <v>96</v>
      </c>
      <c r="C158" s="43" t="s">
        <v>112</v>
      </c>
      <c r="D158" s="43">
        <v>5</v>
      </c>
      <c r="E158" s="40" t="s">
        <v>102</v>
      </c>
      <c r="F158" s="41">
        <v>66</v>
      </c>
      <c r="G158" s="42">
        <v>80</v>
      </c>
      <c r="H158" s="1"/>
      <c r="I158" s="30"/>
      <c r="J158" s="40">
        <v>270</v>
      </c>
      <c r="K158" s="45">
        <v>68</v>
      </c>
      <c r="L158" s="45">
        <v>0</v>
      </c>
      <c r="M158" s="45">
        <v>2</v>
      </c>
      <c r="N158" s="45"/>
      <c r="O158" s="46"/>
      <c r="P158" s="47">
        <f t="shared" si="21"/>
        <v>-0.01307358157165374</v>
      </c>
      <c r="Q158" s="47">
        <f t="shared" si="22"/>
        <v>0.9266190392142547</v>
      </c>
      <c r="R158" s="47">
        <f t="shared" si="23"/>
        <v>0.3743783932007344</v>
      </c>
      <c r="S158" s="48">
        <f t="shared" si="24"/>
        <v>90.80832717481977</v>
      </c>
      <c r="T158" s="48">
        <f>ASIN(R158/SQRT(P158^2+Q158^2+R158^2))*180/PI()</f>
        <v>21.99801955917745</v>
      </c>
      <c r="U158" s="49">
        <f t="shared" si="25"/>
        <v>270.80832717481974</v>
      </c>
      <c r="V158" s="48">
        <f t="shared" si="26"/>
        <v>180.80832717481974</v>
      </c>
      <c r="W158" s="50">
        <f t="shared" si="27"/>
        <v>68.00198044082255</v>
      </c>
      <c r="X158" s="51"/>
      <c r="Y158" s="52"/>
      <c r="Z158" s="53"/>
      <c r="AA158" s="40">
        <v>0</v>
      </c>
      <c r="AB158" s="43">
        <v>104</v>
      </c>
      <c r="AC158" s="54"/>
      <c r="AD158" s="55"/>
      <c r="AE158" s="49">
        <f t="shared" si="19"/>
        <v>270.80832717481974</v>
      </c>
      <c r="AF158" s="48">
        <f t="shared" si="18"/>
        <v>180.80832717481974</v>
      </c>
      <c r="AG158" s="48">
        <f t="shared" si="20"/>
        <v>68.00198044082255</v>
      </c>
      <c r="AH158" s="56"/>
      <c r="AI158" s="53"/>
    </row>
    <row r="159" spans="1:35" s="39" customFormat="1" ht="12.75">
      <c r="A159" s="81">
        <v>151.83</v>
      </c>
      <c r="B159" s="43" t="s">
        <v>96</v>
      </c>
      <c r="C159" s="43" t="s">
        <v>112</v>
      </c>
      <c r="D159" s="43">
        <v>6</v>
      </c>
      <c r="E159" s="40" t="s">
        <v>102</v>
      </c>
      <c r="F159" s="41">
        <v>13</v>
      </c>
      <c r="G159" s="42">
        <v>22</v>
      </c>
      <c r="H159" s="1"/>
      <c r="I159" s="30"/>
      <c r="J159" s="40">
        <v>90</v>
      </c>
      <c r="K159" s="45">
        <v>65</v>
      </c>
      <c r="L159" s="45">
        <v>0</v>
      </c>
      <c r="M159" s="45">
        <v>20</v>
      </c>
      <c r="N159" s="45"/>
      <c r="O159" s="46"/>
      <c r="P159" s="47">
        <f t="shared" si="21"/>
        <v>0.144543958452599</v>
      </c>
      <c r="Q159" s="47">
        <f t="shared" si="22"/>
        <v>0.8516507396391465</v>
      </c>
      <c r="R159" s="47">
        <f t="shared" si="23"/>
        <v>-0.39713126196710286</v>
      </c>
      <c r="S159" s="48">
        <f t="shared" si="24"/>
        <v>80.36743023409892</v>
      </c>
      <c r="T159" s="48">
        <f>ASIN(R159/SQRT(P159^2+Q159^2+R159^2))*180/PI()</f>
        <v>-24.689813234558535</v>
      </c>
      <c r="U159" s="49">
        <f t="shared" si="25"/>
        <v>80.36743023409892</v>
      </c>
      <c r="V159" s="48">
        <f t="shared" si="26"/>
        <v>350.36743023409895</v>
      </c>
      <c r="W159" s="50">
        <f t="shared" si="27"/>
        <v>65.31018676544147</v>
      </c>
      <c r="X159" s="51"/>
      <c r="Y159" s="52"/>
      <c r="Z159" s="53"/>
      <c r="AA159" s="40">
        <v>0</v>
      </c>
      <c r="AB159" s="43">
        <v>89</v>
      </c>
      <c r="AC159" s="54"/>
      <c r="AD159" s="55"/>
      <c r="AE159" s="49">
        <f t="shared" si="19"/>
        <v>80.36743023409892</v>
      </c>
      <c r="AF159" s="48">
        <f t="shared" si="18"/>
        <v>350.36743023409895</v>
      </c>
      <c r="AG159" s="48">
        <f t="shared" si="20"/>
        <v>65.31018676544147</v>
      </c>
      <c r="AH159" s="56"/>
      <c r="AI159" s="53"/>
    </row>
    <row r="160" spans="1:35" s="39" customFormat="1" ht="12.75">
      <c r="A160" s="81">
        <v>151.83</v>
      </c>
      <c r="B160" s="43" t="s">
        <v>96</v>
      </c>
      <c r="C160" s="43" t="s">
        <v>112</v>
      </c>
      <c r="D160" s="43">
        <v>6</v>
      </c>
      <c r="E160" s="40" t="s">
        <v>102</v>
      </c>
      <c r="F160" s="41">
        <v>13</v>
      </c>
      <c r="G160" s="42">
        <v>22</v>
      </c>
      <c r="H160" s="1"/>
      <c r="I160" s="30"/>
      <c r="J160" s="40">
        <v>270</v>
      </c>
      <c r="K160" s="45">
        <v>75</v>
      </c>
      <c r="L160" s="45">
        <v>90</v>
      </c>
      <c r="M160" s="45">
        <v>55</v>
      </c>
      <c r="N160" s="45"/>
      <c r="O160" s="46"/>
      <c r="P160" s="47">
        <f t="shared" si="21"/>
        <v>-0.7660444431189781</v>
      </c>
      <c r="Q160" s="47">
        <f t="shared" si="22"/>
        <v>7.287069383864234E-17</v>
      </c>
      <c r="R160" s="47">
        <f t="shared" si="23"/>
        <v>-1.8180188574682582E-17</v>
      </c>
      <c r="S160" s="48">
        <f t="shared" si="24"/>
        <v>180</v>
      </c>
      <c r="T160" s="48">
        <f>ASIN(R160/SQRT(P160^2+Q160^2+R160^2))*180/PI()</f>
        <v>-1.3597749914354357E-15</v>
      </c>
      <c r="U160" s="49">
        <f t="shared" si="25"/>
        <v>180</v>
      </c>
      <c r="V160" s="48">
        <f t="shared" si="26"/>
        <v>90</v>
      </c>
      <c r="W160" s="50">
        <f t="shared" si="27"/>
        <v>90</v>
      </c>
      <c r="X160" s="51"/>
      <c r="Y160" s="52"/>
      <c r="Z160" s="53"/>
      <c r="AA160" s="40">
        <v>0</v>
      </c>
      <c r="AB160" s="43">
        <v>89</v>
      </c>
      <c r="AC160" s="54"/>
      <c r="AD160" s="55"/>
      <c r="AE160" s="49">
        <f t="shared" si="19"/>
        <v>180</v>
      </c>
      <c r="AF160" s="48">
        <f aca="true" t="shared" si="28" ref="AF160:AF186">IF(AE160-90&lt;0,AE160+270,AE160-90)</f>
        <v>90</v>
      </c>
      <c r="AG160" s="48">
        <f t="shared" si="20"/>
        <v>90</v>
      </c>
      <c r="AH160" s="56"/>
      <c r="AI160" s="53"/>
    </row>
    <row r="161" spans="1:35" s="39" customFormat="1" ht="12.75">
      <c r="A161" s="81">
        <v>153.15</v>
      </c>
      <c r="B161" s="43" t="s">
        <v>96</v>
      </c>
      <c r="C161" s="43" t="s">
        <v>112</v>
      </c>
      <c r="D161" s="43">
        <v>7</v>
      </c>
      <c r="E161" s="40" t="s">
        <v>47</v>
      </c>
      <c r="F161" s="41">
        <v>14</v>
      </c>
      <c r="G161" s="42">
        <v>28</v>
      </c>
      <c r="H161" s="1"/>
      <c r="I161" s="30"/>
      <c r="J161" s="40">
        <v>270</v>
      </c>
      <c r="K161" s="45">
        <v>60</v>
      </c>
      <c r="L161" s="45">
        <v>0</v>
      </c>
      <c r="M161" s="45">
        <v>10</v>
      </c>
      <c r="N161" s="45"/>
      <c r="O161" s="46"/>
      <c r="P161" s="47">
        <f t="shared" si="21"/>
        <v>-0.08682408883346518</v>
      </c>
      <c r="Q161" s="47">
        <f t="shared" si="22"/>
        <v>0.8528685319524432</v>
      </c>
      <c r="R161" s="47">
        <f t="shared" si="23"/>
        <v>0.4924038765061041</v>
      </c>
      <c r="S161" s="48">
        <f t="shared" si="24"/>
        <v>95.81282391288984</v>
      </c>
      <c r="T161" s="48">
        <f>ASIN(R161/SQRT(P161^2+Q161^2+R161^2))*180/PI()</f>
        <v>29.87226564383459</v>
      </c>
      <c r="U161" s="49">
        <f t="shared" si="25"/>
        <v>275.8128239128898</v>
      </c>
      <c r="V161" s="48">
        <f t="shared" si="26"/>
        <v>185.81282391288983</v>
      </c>
      <c r="W161" s="50">
        <f t="shared" si="27"/>
        <v>60.127734356165405</v>
      </c>
      <c r="X161" s="51"/>
      <c r="Y161" s="52"/>
      <c r="Z161" s="53" t="s">
        <v>48</v>
      </c>
      <c r="AA161" s="40">
        <v>0</v>
      </c>
      <c r="AB161" s="43">
        <v>50</v>
      </c>
      <c r="AC161" s="54"/>
      <c r="AD161" s="55"/>
      <c r="AE161" s="49">
        <f aca="true" t="shared" si="29" ref="AE161:AE186">IF(AD161&gt;=0,IF(U161&gt;=AC161,U161-AC161,U161-AC161+360),IF((U161-AC161-180)&lt;0,IF(U161-AC161+180&lt;0,U161-AC161+540,U161-AC161+180),U161-AC161-180))</f>
        <v>275.8128239128898</v>
      </c>
      <c r="AF161" s="48">
        <f t="shared" si="28"/>
        <v>185.81282391288983</v>
      </c>
      <c r="AG161" s="48">
        <f aca="true" t="shared" si="30" ref="AG161:AG186">W161</f>
        <v>60.127734356165405</v>
      </c>
      <c r="AH161" s="56"/>
      <c r="AI161" s="53" t="str">
        <f>Z161</f>
        <v>N</v>
      </c>
    </row>
    <row r="162" spans="1:35" s="39" customFormat="1" ht="21">
      <c r="A162" s="81">
        <v>154.28</v>
      </c>
      <c r="B162" s="43" t="s">
        <v>96</v>
      </c>
      <c r="C162" s="43" t="s">
        <v>112</v>
      </c>
      <c r="D162" s="43">
        <v>7</v>
      </c>
      <c r="E162" s="40" t="s">
        <v>46</v>
      </c>
      <c r="F162" s="41">
        <v>127</v>
      </c>
      <c r="G162" s="42">
        <v>128</v>
      </c>
      <c r="H162" s="1"/>
      <c r="I162" s="30"/>
      <c r="J162" s="40">
        <v>270</v>
      </c>
      <c r="K162" s="45">
        <v>10</v>
      </c>
      <c r="L162" s="45">
        <v>180</v>
      </c>
      <c r="M162" s="45">
        <v>9</v>
      </c>
      <c r="N162" s="45"/>
      <c r="O162" s="46"/>
      <c r="P162" s="47">
        <f t="shared" si="21"/>
        <v>-0.1540578740099366</v>
      </c>
      <c r="Q162" s="47">
        <f t="shared" si="22"/>
        <v>-0.17151028044722005</v>
      </c>
      <c r="R162" s="47">
        <f t="shared" si="23"/>
        <v>-0.972683135377854</v>
      </c>
      <c r="S162" s="48">
        <f t="shared" si="24"/>
        <v>228.068460617139</v>
      </c>
      <c r="T162" s="48">
        <f>ASIN(R162/SQRT(P162^2+Q162^2+R162^2))*180/PI()</f>
        <v>-76.66600617464948</v>
      </c>
      <c r="U162" s="49">
        <f t="shared" si="25"/>
        <v>228.068460617139</v>
      </c>
      <c r="V162" s="48">
        <f t="shared" si="26"/>
        <v>138.068460617139</v>
      </c>
      <c r="W162" s="50">
        <f t="shared" si="27"/>
        <v>13.333993825350518</v>
      </c>
      <c r="X162" s="51"/>
      <c r="Y162" s="52"/>
      <c r="Z162" s="53"/>
      <c r="AA162" s="40">
        <v>105</v>
      </c>
      <c r="AB162" s="43">
        <v>144</v>
      </c>
      <c r="AC162" s="54"/>
      <c r="AD162" s="55"/>
      <c r="AE162" s="49">
        <f t="shared" si="29"/>
        <v>228.068460617139</v>
      </c>
      <c r="AF162" s="48">
        <f t="shared" si="28"/>
        <v>138.068460617139</v>
      </c>
      <c r="AG162" s="48">
        <f t="shared" si="30"/>
        <v>13.333993825350518</v>
      </c>
      <c r="AH162" s="56"/>
      <c r="AI162" s="53"/>
    </row>
    <row r="163" spans="1:35" s="39" customFormat="1" ht="12.75">
      <c r="A163" s="81">
        <v>157.68</v>
      </c>
      <c r="B163" s="43" t="s">
        <v>96</v>
      </c>
      <c r="C163" s="43" t="s">
        <v>113</v>
      </c>
      <c r="D163" s="43">
        <v>1</v>
      </c>
      <c r="E163" s="40" t="s">
        <v>102</v>
      </c>
      <c r="F163" s="41">
        <v>40</v>
      </c>
      <c r="G163" s="42">
        <v>45</v>
      </c>
      <c r="H163" s="1"/>
      <c r="I163" s="30"/>
      <c r="J163" s="40">
        <v>90</v>
      </c>
      <c r="K163" s="45">
        <v>65</v>
      </c>
      <c r="L163" s="45">
        <v>180</v>
      </c>
      <c r="M163" s="45">
        <v>45</v>
      </c>
      <c r="N163" s="45"/>
      <c r="O163" s="46"/>
      <c r="P163" s="47">
        <f t="shared" si="21"/>
        <v>0.2988362387301198</v>
      </c>
      <c r="Q163" s="47">
        <f t="shared" si="22"/>
        <v>-0.6408563820557885</v>
      </c>
      <c r="R163" s="47">
        <f t="shared" si="23"/>
        <v>0.29883623873011983</v>
      </c>
      <c r="S163" s="48">
        <f t="shared" si="24"/>
        <v>295</v>
      </c>
      <c r="T163" s="48">
        <f>ASIN(R163/SQRT(P163^2+Q163^2+R163^2))*180/PI()</f>
        <v>22.90980712514368</v>
      </c>
      <c r="U163" s="49">
        <f t="shared" si="25"/>
        <v>115</v>
      </c>
      <c r="V163" s="48">
        <f t="shared" si="26"/>
        <v>25</v>
      </c>
      <c r="W163" s="50">
        <f t="shared" si="27"/>
        <v>67.09019287485631</v>
      </c>
      <c r="X163" s="51"/>
      <c r="Y163" s="52"/>
      <c r="Z163" s="53"/>
      <c r="AA163" s="40">
        <v>33</v>
      </c>
      <c r="AB163" s="43">
        <v>64</v>
      </c>
      <c r="AC163" s="54"/>
      <c r="AD163" s="55"/>
      <c r="AE163" s="49">
        <f t="shared" si="29"/>
        <v>115</v>
      </c>
      <c r="AF163" s="48">
        <f t="shared" si="28"/>
        <v>25</v>
      </c>
      <c r="AG163" s="48">
        <f t="shared" si="30"/>
        <v>67.09019287485631</v>
      </c>
      <c r="AH163" s="56"/>
      <c r="AI163" s="53"/>
    </row>
    <row r="164" spans="1:35" s="39" customFormat="1" ht="12.75">
      <c r="A164" s="81">
        <v>158.49</v>
      </c>
      <c r="B164" s="43" t="s">
        <v>96</v>
      </c>
      <c r="C164" s="43" t="s">
        <v>113</v>
      </c>
      <c r="D164" s="43">
        <v>2</v>
      </c>
      <c r="E164" s="40" t="s">
        <v>102</v>
      </c>
      <c r="F164" s="41">
        <v>33</v>
      </c>
      <c r="G164" s="42">
        <v>37</v>
      </c>
      <c r="H164" s="1"/>
      <c r="I164" s="30"/>
      <c r="J164" s="40">
        <v>270</v>
      </c>
      <c r="K164" s="45">
        <v>55</v>
      </c>
      <c r="L164" s="45">
        <v>180</v>
      </c>
      <c r="M164" s="45">
        <v>76</v>
      </c>
      <c r="N164" s="45"/>
      <c r="O164" s="46"/>
      <c r="P164" s="47">
        <f t="shared" si="21"/>
        <v>-0.5565387648840362</v>
      </c>
      <c r="Q164" s="47">
        <f t="shared" si="22"/>
        <v>-0.19817081533873587</v>
      </c>
      <c r="R164" s="47">
        <f t="shared" si="23"/>
        <v>-0.13876069875334734</v>
      </c>
      <c r="S164" s="48">
        <f t="shared" si="24"/>
        <v>199.59965969902163</v>
      </c>
      <c r="T164" s="48">
        <f>ASIN(R164/SQRT(P164^2+Q164^2+R164^2))*180/PI()</f>
        <v>-13.218133093310339</v>
      </c>
      <c r="U164" s="49">
        <f t="shared" si="25"/>
        <v>199.59965969902163</v>
      </c>
      <c r="V164" s="48">
        <f t="shared" si="26"/>
        <v>109.59965969902163</v>
      </c>
      <c r="W164" s="50">
        <f t="shared" si="27"/>
        <v>76.78186690668966</v>
      </c>
      <c r="X164" s="51"/>
      <c r="Y164" s="52"/>
      <c r="Z164" s="53"/>
      <c r="AA164" s="40">
        <v>0</v>
      </c>
      <c r="AB164" s="43">
        <v>55</v>
      </c>
      <c r="AC164" s="54"/>
      <c r="AD164" s="55"/>
      <c r="AE164" s="49">
        <f t="shared" si="29"/>
        <v>199.59965969902163</v>
      </c>
      <c r="AF164" s="48">
        <f t="shared" si="28"/>
        <v>109.59965969902163</v>
      </c>
      <c r="AG164" s="48">
        <f t="shared" si="30"/>
        <v>76.78186690668966</v>
      </c>
      <c r="AH164" s="56"/>
      <c r="AI164" s="53"/>
    </row>
    <row r="165" spans="1:35" s="39" customFormat="1" ht="21">
      <c r="A165" s="81">
        <v>158.97</v>
      </c>
      <c r="B165" s="43" t="s">
        <v>96</v>
      </c>
      <c r="C165" s="43" t="s">
        <v>113</v>
      </c>
      <c r="D165" s="43">
        <v>2</v>
      </c>
      <c r="E165" s="40" t="s">
        <v>46</v>
      </c>
      <c r="F165" s="41">
        <v>81</v>
      </c>
      <c r="G165" s="42">
        <v>81</v>
      </c>
      <c r="H165" s="1"/>
      <c r="I165" s="30"/>
      <c r="J165" s="40">
        <v>90</v>
      </c>
      <c r="K165" s="45">
        <v>0</v>
      </c>
      <c r="L165" s="45">
        <v>180</v>
      </c>
      <c r="M165" s="45">
        <v>3</v>
      </c>
      <c r="N165" s="45"/>
      <c r="O165" s="46"/>
      <c r="P165" s="47">
        <f t="shared" si="21"/>
        <v>0.05233595624294383</v>
      </c>
      <c r="Q165" s="47">
        <f t="shared" si="22"/>
        <v>-3.2046530646618547E-18</v>
      </c>
      <c r="R165" s="47">
        <f t="shared" si="23"/>
        <v>0.9986295347545738</v>
      </c>
      <c r="S165" s="48">
        <f t="shared" si="24"/>
        <v>360</v>
      </c>
      <c r="T165" s="48">
        <f>ASIN(R165/SQRT(P165^2+Q165^2+R165^2))*180/PI()</f>
        <v>87.00000000000007</v>
      </c>
      <c r="U165" s="49">
        <f t="shared" si="25"/>
        <v>180</v>
      </c>
      <c r="V165" s="48">
        <f t="shared" si="26"/>
        <v>90</v>
      </c>
      <c r="W165" s="50">
        <f t="shared" si="27"/>
        <v>2.999999999999929</v>
      </c>
      <c r="X165" s="51"/>
      <c r="Y165" s="52"/>
      <c r="Z165" s="53"/>
      <c r="AA165" s="40">
        <v>72</v>
      </c>
      <c r="AB165" s="43">
        <v>144</v>
      </c>
      <c r="AC165" s="54"/>
      <c r="AD165" s="55"/>
      <c r="AE165" s="49">
        <f t="shared" si="29"/>
        <v>180</v>
      </c>
      <c r="AF165" s="48">
        <f t="shared" si="28"/>
        <v>90</v>
      </c>
      <c r="AG165" s="48">
        <f t="shared" si="30"/>
        <v>2.999999999999929</v>
      </c>
      <c r="AH165" s="56"/>
      <c r="AI165" s="53"/>
    </row>
    <row r="166" spans="1:35" s="39" customFormat="1" ht="21">
      <c r="A166" s="81">
        <v>159.02</v>
      </c>
      <c r="B166" s="43" t="s">
        <v>96</v>
      </c>
      <c r="C166" s="43" t="s">
        <v>113</v>
      </c>
      <c r="D166" s="43">
        <v>2</v>
      </c>
      <c r="E166" s="40" t="s">
        <v>102</v>
      </c>
      <c r="F166" s="41">
        <v>86</v>
      </c>
      <c r="G166" s="42">
        <v>92</v>
      </c>
      <c r="H166" s="1"/>
      <c r="I166" s="30"/>
      <c r="J166" s="40">
        <v>90</v>
      </c>
      <c r="K166" s="45">
        <v>65</v>
      </c>
      <c r="L166" s="45">
        <v>180</v>
      </c>
      <c r="M166" s="45">
        <v>36</v>
      </c>
      <c r="N166" s="45"/>
      <c r="O166" s="46"/>
      <c r="P166" s="47">
        <f t="shared" si="21"/>
        <v>0.24840878160066338</v>
      </c>
      <c r="Q166" s="47">
        <f t="shared" si="22"/>
        <v>-0.7332184018470005</v>
      </c>
      <c r="R166" s="47">
        <f t="shared" si="23"/>
        <v>0.3419053558814255</v>
      </c>
      <c r="S166" s="48">
        <f t="shared" si="24"/>
        <v>288.7159867932946</v>
      </c>
      <c r="T166" s="48">
        <f>ASIN(R166/SQRT(P166^2+Q166^2+R166^2))*180/PI()</f>
        <v>23.828634794474528</v>
      </c>
      <c r="U166" s="49">
        <f t="shared" si="25"/>
        <v>108.71598679329458</v>
      </c>
      <c r="V166" s="48">
        <f t="shared" si="26"/>
        <v>18.715986793294576</v>
      </c>
      <c r="W166" s="50">
        <f t="shared" si="27"/>
        <v>66.17136520552548</v>
      </c>
      <c r="X166" s="51"/>
      <c r="Y166" s="52"/>
      <c r="Z166" s="53"/>
      <c r="AA166" s="40">
        <v>72</v>
      </c>
      <c r="AB166" s="43">
        <v>144</v>
      </c>
      <c r="AC166" s="54"/>
      <c r="AD166" s="55"/>
      <c r="AE166" s="49">
        <f t="shared" si="29"/>
        <v>108.71598679329458</v>
      </c>
      <c r="AF166" s="48">
        <f t="shared" si="28"/>
        <v>18.715986793294576</v>
      </c>
      <c r="AG166" s="48">
        <f t="shared" si="30"/>
        <v>66.17136520552548</v>
      </c>
      <c r="AH166" s="56"/>
      <c r="AI166" s="53"/>
    </row>
    <row r="167" spans="1:35" s="39" customFormat="1" ht="21">
      <c r="A167" s="81">
        <v>160.45</v>
      </c>
      <c r="B167" s="43" t="s">
        <v>96</v>
      </c>
      <c r="C167" s="43" t="s">
        <v>113</v>
      </c>
      <c r="D167" s="43">
        <v>3</v>
      </c>
      <c r="E167" s="40" t="s">
        <v>46</v>
      </c>
      <c r="F167" s="41">
        <v>80</v>
      </c>
      <c r="G167" s="42">
        <v>81</v>
      </c>
      <c r="H167" s="1"/>
      <c r="I167" s="30"/>
      <c r="J167" s="40">
        <v>270</v>
      </c>
      <c r="K167" s="45">
        <v>7</v>
      </c>
      <c r="L167" s="45">
        <v>0</v>
      </c>
      <c r="M167" s="45">
        <v>2</v>
      </c>
      <c r="N167" s="45"/>
      <c r="O167" s="46"/>
      <c r="P167" s="47">
        <f t="shared" si="21"/>
        <v>-0.034639361146286345</v>
      </c>
      <c r="Q167" s="47">
        <f t="shared" si="22"/>
        <v>0.12179510389394452</v>
      </c>
      <c r="R167" s="47">
        <f t="shared" si="23"/>
        <v>0.9919415193434417</v>
      </c>
      <c r="S167" s="48">
        <f t="shared" si="24"/>
        <v>105.87611478209257</v>
      </c>
      <c r="T167" s="48">
        <f>ASIN(R167/SQRT(P167^2+Q167^2+R167^2))*180/PI()</f>
        <v>82.72531708215082</v>
      </c>
      <c r="U167" s="49">
        <f t="shared" si="25"/>
        <v>285.8761147820926</v>
      </c>
      <c r="V167" s="48">
        <f t="shared" si="26"/>
        <v>195.8761147820926</v>
      </c>
      <c r="W167" s="50">
        <f t="shared" si="27"/>
        <v>7.2746829178491765</v>
      </c>
      <c r="X167" s="51"/>
      <c r="Y167" s="52"/>
      <c r="Z167" s="53"/>
      <c r="AA167" s="40">
        <v>0</v>
      </c>
      <c r="AB167" s="43">
        <v>97</v>
      </c>
      <c r="AC167" s="54"/>
      <c r="AD167" s="55"/>
      <c r="AE167" s="49">
        <f t="shared" si="29"/>
        <v>285.8761147820926</v>
      </c>
      <c r="AF167" s="48">
        <f t="shared" si="28"/>
        <v>195.8761147820926</v>
      </c>
      <c r="AG167" s="48">
        <f t="shared" si="30"/>
        <v>7.2746829178491765</v>
      </c>
      <c r="AH167" s="56"/>
      <c r="AI167" s="53"/>
    </row>
    <row r="168" spans="1:35" s="39" customFormat="1" ht="12.75">
      <c r="A168" s="81">
        <v>159.77</v>
      </c>
      <c r="B168" s="43" t="s">
        <v>96</v>
      </c>
      <c r="C168" s="43" t="s">
        <v>113</v>
      </c>
      <c r="D168" s="43">
        <v>3</v>
      </c>
      <c r="E168" s="40" t="s">
        <v>47</v>
      </c>
      <c r="F168" s="41">
        <v>12</v>
      </c>
      <c r="G168" s="42">
        <v>19</v>
      </c>
      <c r="H168" s="1"/>
      <c r="I168" s="30"/>
      <c r="J168" s="40">
        <v>90</v>
      </c>
      <c r="K168" s="45">
        <v>49</v>
      </c>
      <c r="L168" s="45">
        <v>180</v>
      </c>
      <c r="M168" s="45">
        <v>22</v>
      </c>
      <c r="N168" s="45"/>
      <c r="O168" s="46"/>
      <c r="P168" s="47">
        <f t="shared" si="21"/>
        <v>0.24576403792988494</v>
      </c>
      <c r="Q168" s="47">
        <f t="shared" si="22"/>
        <v>-0.6997545376694317</v>
      </c>
      <c r="R168" s="47">
        <f t="shared" si="23"/>
        <v>0.6082873393227624</v>
      </c>
      <c r="S168" s="48">
        <f t="shared" si="24"/>
        <v>289.3520215978833</v>
      </c>
      <c r="T168" s="48">
        <f>ASIN(R168/SQRT(P168^2+Q168^2+R168^2))*180/PI()</f>
        <v>39.357660129220285</v>
      </c>
      <c r="U168" s="49">
        <f t="shared" si="25"/>
        <v>109.35202159788332</v>
      </c>
      <c r="V168" s="48">
        <f t="shared" si="26"/>
        <v>19.352021597883322</v>
      </c>
      <c r="W168" s="50">
        <f t="shared" si="27"/>
        <v>50.642339870779715</v>
      </c>
      <c r="X168" s="51"/>
      <c r="Y168" s="52"/>
      <c r="Z168" s="53" t="s">
        <v>48</v>
      </c>
      <c r="AA168" s="40">
        <v>0</v>
      </c>
      <c r="AB168" s="43">
        <v>97</v>
      </c>
      <c r="AC168" s="54"/>
      <c r="AD168" s="55"/>
      <c r="AE168" s="49">
        <f t="shared" si="29"/>
        <v>109.35202159788332</v>
      </c>
      <c r="AF168" s="48">
        <f t="shared" si="28"/>
        <v>19.352021597883322</v>
      </c>
      <c r="AG168" s="48">
        <f t="shared" si="30"/>
        <v>50.642339870779715</v>
      </c>
      <c r="AH168" s="56"/>
      <c r="AI168" s="53" t="str">
        <f>Z168</f>
        <v>N</v>
      </c>
    </row>
    <row r="169" spans="1:35" s="39" customFormat="1" ht="12.75">
      <c r="A169" s="81">
        <v>161.965</v>
      </c>
      <c r="B169" s="43" t="s">
        <v>96</v>
      </c>
      <c r="C169" s="43" t="s">
        <v>113</v>
      </c>
      <c r="D169" s="43">
        <v>6</v>
      </c>
      <c r="E169" s="40" t="s">
        <v>102</v>
      </c>
      <c r="F169" s="41">
        <v>50</v>
      </c>
      <c r="G169" s="42">
        <v>60</v>
      </c>
      <c r="H169" s="1"/>
      <c r="I169" s="30"/>
      <c r="J169" s="40">
        <v>270</v>
      </c>
      <c r="K169" s="45">
        <v>65</v>
      </c>
      <c r="L169" s="45">
        <v>180</v>
      </c>
      <c r="M169" s="45">
        <v>35</v>
      </c>
      <c r="N169" s="45"/>
      <c r="O169" s="46"/>
      <c r="P169" s="47">
        <f t="shared" si="21"/>
        <v>-0.2424038765061041</v>
      </c>
      <c r="Q169" s="47">
        <f t="shared" si="22"/>
        <v>-0.7424038765061041</v>
      </c>
      <c r="R169" s="47">
        <f t="shared" si="23"/>
        <v>-0.34618861305875415</v>
      </c>
      <c r="S169" s="48">
        <f t="shared" si="24"/>
        <v>251.91751116596504</v>
      </c>
      <c r="T169" s="48">
        <f>ASIN(R169/SQRT(P169^2+Q169^2+R169^2))*180/PI()</f>
        <v>-23.906609472618513</v>
      </c>
      <c r="U169" s="49">
        <f t="shared" si="25"/>
        <v>251.91751116596504</v>
      </c>
      <c r="V169" s="48">
        <f t="shared" si="26"/>
        <v>161.91751116596504</v>
      </c>
      <c r="W169" s="50">
        <f t="shared" si="27"/>
        <v>66.09339052738149</v>
      </c>
      <c r="X169" s="51"/>
      <c r="Y169" s="52"/>
      <c r="Z169" s="53"/>
      <c r="AA169" s="40">
        <v>0</v>
      </c>
      <c r="AB169" s="43">
        <v>84</v>
      </c>
      <c r="AC169" s="54"/>
      <c r="AD169" s="55"/>
      <c r="AE169" s="49">
        <f t="shared" si="29"/>
        <v>251.91751116596504</v>
      </c>
      <c r="AF169" s="48">
        <f t="shared" si="28"/>
        <v>161.91751116596504</v>
      </c>
      <c r="AG169" s="48">
        <f t="shared" si="30"/>
        <v>66.09339052738149</v>
      </c>
      <c r="AH169" s="56"/>
      <c r="AI169" s="53"/>
    </row>
    <row r="170" spans="1:35" s="39" customFormat="1" ht="12.75">
      <c r="A170" s="81">
        <v>162.085</v>
      </c>
      <c r="B170" s="43" t="s">
        <v>96</v>
      </c>
      <c r="C170" s="43" t="s">
        <v>113</v>
      </c>
      <c r="D170" s="43">
        <v>6</v>
      </c>
      <c r="E170" s="40" t="s">
        <v>102</v>
      </c>
      <c r="F170" s="41">
        <v>62</v>
      </c>
      <c r="G170" s="42">
        <v>68</v>
      </c>
      <c r="H170" s="1"/>
      <c r="I170" s="30"/>
      <c r="J170" s="40">
        <v>90</v>
      </c>
      <c r="K170" s="45">
        <v>61</v>
      </c>
      <c r="L170" s="45">
        <v>0</v>
      </c>
      <c r="M170" s="45">
        <v>19</v>
      </c>
      <c r="N170" s="45"/>
      <c r="O170" s="46"/>
      <c r="P170" s="47">
        <f t="shared" si="21"/>
        <v>0.15783857332667495</v>
      </c>
      <c r="Q170" s="47">
        <f t="shared" si="22"/>
        <v>0.8269691796855331</v>
      </c>
      <c r="R170" s="47">
        <f t="shared" si="23"/>
        <v>-0.45839650157216244</v>
      </c>
      <c r="S170" s="48">
        <f t="shared" si="24"/>
        <v>79.19426657607787</v>
      </c>
      <c r="T170" s="48">
        <f>ASIN(R170/SQRT(P170^2+Q170^2+R170^2))*180/PI()</f>
        <v>-28.567422206507352</v>
      </c>
      <c r="U170" s="49">
        <f t="shared" si="25"/>
        <v>79.19426657607787</v>
      </c>
      <c r="V170" s="48">
        <f t="shared" si="26"/>
        <v>349.1942665760779</v>
      </c>
      <c r="W170" s="50">
        <f t="shared" si="27"/>
        <v>61.43257779349265</v>
      </c>
      <c r="X170" s="51"/>
      <c r="Y170" s="52"/>
      <c r="Z170" s="53"/>
      <c r="AA170" s="40">
        <v>0</v>
      </c>
      <c r="AB170" s="43">
        <v>84</v>
      </c>
      <c r="AC170" s="54"/>
      <c r="AD170" s="55"/>
      <c r="AE170" s="49">
        <f t="shared" si="29"/>
        <v>79.19426657607787</v>
      </c>
      <c r="AF170" s="48">
        <f t="shared" si="28"/>
        <v>349.1942665760779</v>
      </c>
      <c r="AG170" s="48">
        <f t="shared" si="30"/>
        <v>61.43257779349265</v>
      </c>
      <c r="AH170" s="56"/>
      <c r="AI170" s="53"/>
    </row>
    <row r="171" spans="1:35" s="39" customFormat="1" ht="12.75">
      <c r="A171" s="81">
        <v>162.475</v>
      </c>
      <c r="B171" s="43" t="s">
        <v>96</v>
      </c>
      <c r="C171" s="43" t="s">
        <v>113</v>
      </c>
      <c r="D171" s="43">
        <v>7</v>
      </c>
      <c r="E171" s="40" t="s">
        <v>102</v>
      </c>
      <c r="F171" s="41">
        <v>17</v>
      </c>
      <c r="G171" s="42">
        <v>23</v>
      </c>
      <c r="H171" s="1"/>
      <c r="I171" s="30"/>
      <c r="J171" s="40">
        <v>270</v>
      </c>
      <c r="K171" s="45">
        <v>58</v>
      </c>
      <c r="L171" s="45">
        <v>180</v>
      </c>
      <c r="M171" s="45">
        <v>18</v>
      </c>
      <c r="N171" s="45"/>
      <c r="O171" s="46"/>
      <c r="P171" s="47">
        <f t="shared" si="21"/>
        <v>-0.16375405829472867</v>
      </c>
      <c r="Q171" s="47">
        <f t="shared" si="22"/>
        <v>-0.8065416679812678</v>
      </c>
      <c r="R171" s="47">
        <f t="shared" si="23"/>
        <v>-0.5039831693593229</v>
      </c>
      <c r="S171" s="48">
        <f t="shared" si="24"/>
        <v>258.52310629394924</v>
      </c>
      <c r="T171" s="48">
        <f>ASIN(R171/SQRT(P171^2+Q171^2+R171^2))*180/PI()</f>
        <v>-31.482265359105007</v>
      </c>
      <c r="U171" s="49">
        <f t="shared" si="25"/>
        <v>258.52310629394924</v>
      </c>
      <c r="V171" s="48">
        <f t="shared" si="26"/>
        <v>168.52310629394924</v>
      </c>
      <c r="W171" s="50">
        <f t="shared" si="27"/>
        <v>58.51773464089499</v>
      </c>
      <c r="X171" s="51"/>
      <c r="Y171" s="52"/>
      <c r="Z171" s="53"/>
      <c r="AA171" s="40">
        <v>0</v>
      </c>
      <c r="AB171" s="43">
        <v>131</v>
      </c>
      <c r="AC171" s="54"/>
      <c r="AD171" s="55"/>
      <c r="AE171" s="49">
        <f t="shared" si="29"/>
        <v>258.52310629394924</v>
      </c>
      <c r="AF171" s="48">
        <f t="shared" si="28"/>
        <v>168.52310629394924</v>
      </c>
      <c r="AG171" s="48">
        <f t="shared" si="30"/>
        <v>58.51773464089499</v>
      </c>
      <c r="AH171" s="56"/>
      <c r="AI171" s="53"/>
    </row>
    <row r="172" spans="1:35" s="39" customFormat="1" ht="21">
      <c r="A172" s="81">
        <v>162.865</v>
      </c>
      <c r="B172" s="43" t="s">
        <v>96</v>
      </c>
      <c r="C172" s="43" t="s">
        <v>113</v>
      </c>
      <c r="D172" s="43">
        <v>7</v>
      </c>
      <c r="E172" s="40" t="s">
        <v>102</v>
      </c>
      <c r="F172" s="41">
        <v>56</v>
      </c>
      <c r="G172" s="42">
        <v>64</v>
      </c>
      <c r="H172" s="1"/>
      <c r="I172" s="30"/>
      <c r="J172" s="40">
        <v>90</v>
      </c>
      <c r="K172" s="45">
        <v>72</v>
      </c>
      <c r="L172" s="45">
        <v>0</v>
      </c>
      <c r="M172" s="45">
        <v>40</v>
      </c>
      <c r="N172" s="45"/>
      <c r="O172" s="46"/>
      <c r="P172" s="47">
        <f t="shared" si="21"/>
        <v>0.1986322951667912</v>
      </c>
      <c r="Q172" s="47">
        <f t="shared" si="22"/>
        <v>0.7285515593999963</v>
      </c>
      <c r="R172" s="47">
        <f t="shared" si="23"/>
        <v>-0.23672075137025703</v>
      </c>
      <c r="S172" s="48">
        <f t="shared" si="24"/>
        <v>74.74953572581332</v>
      </c>
      <c r="T172" s="48">
        <f>ASIN(R172/SQRT(P172^2+Q172^2+R172^2))*180/PI()</f>
        <v>-17.405045297685813</v>
      </c>
      <c r="U172" s="49">
        <f t="shared" si="25"/>
        <v>74.74953572581332</v>
      </c>
      <c r="V172" s="48">
        <f t="shared" si="26"/>
        <v>344.7495357258133</v>
      </c>
      <c r="W172" s="50">
        <f t="shared" si="27"/>
        <v>72.59495470231418</v>
      </c>
      <c r="X172" s="51"/>
      <c r="Y172" s="52"/>
      <c r="Z172" s="53"/>
      <c r="AA172" s="40">
        <v>0</v>
      </c>
      <c r="AB172" s="43">
        <v>131</v>
      </c>
      <c r="AC172" s="54"/>
      <c r="AD172" s="55"/>
      <c r="AE172" s="49">
        <f t="shared" si="29"/>
        <v>74.74953572581332</v>
      </c>
      <c r="AF172" s="48">
        <f t="shared" si="28"/>
        <v>344.7495357258133</v>
      </c>
      <c r="AG172" s="48">
        <f t="shared" si="30"/>
        <v>72.59495470231418</v>
      </c>
      <c r="AH172" s="56"/>
      <c r="AI172" s="53"/>
    </row>
    <row r="173" spans="1:35" s="39" customFormat="1" ht="21">
      <c r="A173" s="81">
        <v>163.325</v>
      </c>
      <c r="B173" s="43" t="s">
        <v>96</v>
      </c>
      <c r="C173" s="43" t="s">
        <v>113</v>
      </c>
      <c r="D173" s="43">
        <v>7</v>
      </c>
      <c r="E173" s="40" t="s">
        <v>102</v>
      </c>
      <c r="F173" s="41">
        <v>102</v>
      </c>
      <c r="G173" s="42">
        <v>107</v>
      </c>
      <c r="H173" s="1"/>
      <c r="I173" s="30"/>
      <c r="J173" s="40">
        <v>270</v>
      </c>
      <c r="K173" s="45">
        <v>60</v>
      </c>
      <c r="L173" s="45">
        <v>0</v>
      </c>
      <c r="M173" s="45">
        <v>36</v>
      </c>
      <c r="N173" s="45"/>
      <c r="O173" s="46"/>
      <c r="P173" s="47">
        <f t="shared" si="21"/>
        <v>-0.2938926261462366</v>
      </c>
      <c r="Q173" s="47">
        <f t="shared" si="22"/>
        <v>0.7006292692220367</v>
      </c>
      <c r="R173" s="47">
        <f t="shared" si="23"/>
        <v>0.40450849718747384</v>
      </c>
      <c r="S173" s="48">
        <f t="shared" si="24"/>
        <v>112.75656436329554</v>
      </c>
      <c r="T173" s="48">
        <f>ASIN(R173/SQRT(P173^2+Q173^2+R173^2))*180/PI()</f>
        <v>28.031167363069894</v>
      </c>
      <c r="U173" s="49">
        <f t="shared" si="25"/>
        <v>292.7565643632955</v>
      </c>
      <c r="V173" s="48">
        <f t="shared" si="26"/>
        <v>202.75656436329552</v>
      </c>
      <c r="W173" s="50">
        <f t="shared" si="27"/>
        <v>61.9688326369301</v>
      </c>
      <c r="X173" s="51"/>
      <c r="Y173" s="52"/>
      <c r="Z173" s="53"/>
      <c r="AA173" s="40">
        <v>0</v>
      </c>
      <c r="AB173" s="43">
        <v>131</v>
      </c>
      <c r="AC173" s="54"/>
      <c r="AD173" s="55"/>
      <c r="AE173" s="49">
        <f t="shared" si="29"/>
        <v>292.7565643632955</v>
      </c>
      <c r="AF173" s="48">
        <f t="shared" si="28"/>
        <v>202.75656436329552</v>
      </c>
      <c r="AG173" s="48">
        <f t="shared" si="30"/>
        <v>61.9688326369301</v>
      </c>
      <c r="AH173" s="56"/>
      <c r="AI173" s="53"/>
    </row>
    <row r="174" spans="1:35" s="39" customFormat="1" ht="12.75">
      <c r="A174" s="81">
        <v>163.395</v>
      </c>
      <c r="B174" s="43" t="s">
        <v>96</v>
      </c>
      <c r="C174" s="43" t="s">
        <v>113</v>
      </c>
      <c r="D174" s="43">
        <v>7</v>
      </c>
      <c r="E174" s="40" t="s">
        <v>102</v>
      </c>
      <c r="F174" s="41">
        <v>109</v>
      </c>
      <c r="G174" s="42">
        <v>112</v>
      </c>
      <c r="H174" s="1"/>
      <c r="I174" s="30"/>
      <c r="J174" s="40">
        <v>270</v>
      </c>
      <c r="K174" s="45">
        <v>62</v>
      </c>
      <c r="L174" s="45">
        <v>180</v>
      </c>
      <c r="M174" s="45">
        <v>26</v>
      </c>
      <c r="N174" s="45"/>
      <c r="O174" s="46"/>
      <c r="P174" s="47">
        <f t="shared" si="21"/>
        <v>-0.20580278736331145</v>
      </c>
      <c r="Q174" s="47">
        <f t="shared" si="22"/>
        <v>-0.7935880396557844</v>
      </c>
      <c r="R174" s="47">
        <f t="shared" si="23"/>
        <v>-0.4219582455387243</v>
      </c>
      <c r="S174" s="48">
        <f t="shared" si="24"/>
        <v>255.4616388056566</v>
      </c>
      <c r="T174" s="48">
        <f>ASIN(R174/SQRT(P174^2+Q174^2+R174^2))*180/PI()</f>
        <v>-27.234154705176156</v>
      </c>
      <c r="U174" s="49">
        <f t="shared" si="25"/>
        <v>255.4616388056566</v>
      </c>
      <c r="V174" s="48">
        <f t="shared" si="26"/>
        <v>165.4616388056566</v>
      </c>
      <c r="W174" s="50">
        <f t="shared" si="27"/>
        <v>62.76584529482385</v>
      </c>
      <c r="X174" s="51"/>
      <c r="Y174" s="52"/>
      <c r="Z174" s="53"/>
      <c r="AA174" s="40">
        <v>0</v>
      </c>
      <c r="AB174" s="43">
        <v>131</v>
      </c>
      <c r="AC174" s="54"/>
      <c r="AD174" s="55"/>
      <c r="AE174" s="49">
        <f t="shared" si="29"/>
        <v>255.4616388056566</v>
      </c>
      <c r="AF174" s="48">
        <f t="shared" si="28"/>
        <v>165.4616388056566</v>
      </c>
      <c r="AG174" s="48">
        <f t="shared" si="30"/>
        <v>62.76584529482385</v>
      </c>
      <c r="AH174" s="56"/>
      <c r="AI174" s="53"/>
    </row>
    <row r="175" spans="1:35" s="39" customFormat="1" ht="12.75">
      <c r="A175" s="81">
        <v>163.78</v>
      </c>
      <c r="B175" s="43" t="s">
        <v>96</v>
      </c>
      <c r="C175" s="43" t="s">
        <v>113</v>
      </c>
      <c r="D175" s="43">
        <v>8</v>
      </c>
      <c r="E175" s="40" t="s">
        <v>102</v>
      </c>
      <c r="F175" s="41">
        <v>16</v>
      </c>
      <c r="G175" s="42">
        <v>25</v>
      </c>
      <c r="H175" s="1"/>
      <c r="I175" s="30"/>
      <c r="J175" s="40">
        <v>270</v>
      </c>
      <c r="K175" s="45">
        <v>54</v>
      </c>
      <c r="L175" s="45">
        <v>0</v>
      </c>
      <c r="M175" s="45">
        <v>70</v>
      </c>
      <c r="N175" s="45"/>
      <c r="O175" s="46"/>
      <c r="P175" s="47">
        <f t="shared" si="21"/>
        <v>-0.5523374641860205</v>
      </c>
      <c r="Q175" s="47">
        <f t="shared" si="22"/>
        <v>0.2767001083690214</v>
      </c>
      <c r="R175" s="47">
        <f t="shared" si="23"/>
        <v>0.2010343962337861</v>
      </c>
      <c r="S175" s="48">
        <f t="shared" si="24"/>
        <v>153.3908686692603</v>
      </c>
      <c r="T175" s="48">
        <f>ASIN(R175/SQRT(P175^2+Q175^2+R175^2))*180/PI()</f>
        <v>18.02590087163685</v>
      </c>
      <c r="U175" s="49">
        <f t="shared" si="25"/>
        <v>333.39086866926027</v>
      </c>
      <c r="V175" s="48">
        <f t="shared" si="26"/>
        <v>243.39086866926027</v>
      </c>
      <c r="W175" s="50">
        <f t="shared" si="27"/>
        <v>71.97409912836315</v>
      </c>
      <c r="X175" s="51"/>
      <c r="Y175" s="52"/>
      <c r="Z175" s="53"/>
      <c r="AA175" s="40">
        <v>0</v>
      </c>
      <c r="AB175" s="43">
        <v>130</v>
      </c>
      <c r="AC175" s="54"/>
      <c r="AD175" s="55"/>
      <c r="AE175" s="49">
        <f t="shared" si="29"/>
        <v>333.39086866926027</v>
      </c>
      <c r="AF175" s="48">
        <f t="shared" si="28"/>
        <v>243.39086866926027</v>
      </c>
      <c r="AG175" s="48">
        <f t="shared" si="30"/>
        <v>71.97409912836315</v>
      </c>
      <c r="AH175" s="56"/>
      <c r="AI175" s="53"/>
    </row>
    <row r="176" spans="1:35" s="39" customFormat="1" ht="12.75">
      <c r="A176" s="81">
        <v>165.29</v>
      </c>
      <c r="B176" s="43" t="s">
        <v>96</v>
      </c>
      <c r="C176" s="43" t="s">
        <v>113</v>
      </c>
      <c r="D176" s="43">
        <v>9</v>
      </c>
      <c r="E176" s="40" t="s">
        <v>46</v>
      </c>
      <c r="F176" s="41">
        <v>35</v>
      </c>
      <c r="G176" s="42">
        <v>35</v>
      </c>
      <c r="H176" s="1"/>
      <c r="I176" s="30"/>
      <c r="J176" s="40">
        <v>270</v>
      </c>
      <c r="K176" s="45">
        <v>61</v>
      </c>
      <c r="L176" s="45">
        <v>150</v>
      </c>
      <c r="M176" s="45">
        <v>0</v>
      </c>
      <c r="N176" s="45"/>
      <c r="O176" s="46"/>
      <c r="P176" s="47">
        <f t="shared" si="21"/>
        <v>-0.4373098535696978</v>
      </c>
      <c r="Q176" s="47">
        <f t="shared" si="22"/>
        <v>-0.7574428850332228</v>
      </c>
      <c r="R176" s="47">
        <f t="shared" si="23"/>
        <v>-0.4198574471324146</v>
      </c>
      <c r="S176" s="48">
        <f t="shared" si="24"/>
        <v>240</v>
      </c>
      <c r="T176" s="48">
        <f>ASIN(R176/SQRT(P176^2+Q176^2+R176^2))*180/PI()</f>
        <v>-25.64313482493521</v>
      </c>
      <c r="U176" s="49">
        <f t="shared" si="25"/>
        <v>240</v>
      </c>
      <c r="V176" s="48">
        <f t="shared" si="26"/>
        <v>150</v>
      </c>
      <c r="W176" s="50">
        <f t="shared" si="27"/>
        <v>64.3568651750648</v>
      </c>
      <c r="X176" s="51"/>
      <c r="Y176" s="52"/>
      <c r="Z176" s="53"/>
      <c r="AA176" s="40">
        <v>0</v>
      </c>
      <c r="AB176" s="43">
        <v>131</v>
      </c>
      <c r="AC176" s="54"/>
      <c r="AD176" s="55"/>
      <c r="AE176" s="49">
        <f t="shared" si="29"/>
        <v>240</v>
      </c>
      <c r="AF176" s="48">
        <f t="shared" si="28"/>
        <v>150</v>
      </c>
      <c r="AG176" s="48">
        <f t="shared" si="30"/>
        <v>64.3568651750648</v>
      </c>
      <c r="AH176" s="56"/>
      <c r="AI176" s="53"/>
    </row>
    <row r="177" spans="1:35" s="39" customFormat="1" ht="12.75">
      <c r="A177" s="81">
        <v>166.04</v>
      </c>
      <c r="B177" s="43" t="s">
        <v>96</v>
      </c>
      <c r="C177" s="43" t="s">
        <v>113</v>
      </c>
      <c r="D177" s="43">
        <v>9</v>
      </c>
      <c r="E177" s="40" t="s">
        <v>47</v>
      </c>
      <c r="F177" s="41">
        <v>110</v>
      </c>
      <c r="G177" s="42">
        <v>125</v>
      </c>
      <c r="H177" s="1"/>
      <c r="I177" s="30"/>
      <c r="J177" s="40">
        <v>270</v>
      </c>
      <c r="K177" s="45">
        <v>61</v>
      </c>
      <c r="L177" s="45">
        <v>150</v>
      </c>
      <c r="M177" s="45">
        <v>0</v>
      </c>
      <c r="N177" s="45"/>
      <c r="O177" s="46"/>
      <c r="P177" s="47">
        <f t="shared" si="21"/>
        <v>-0.4373098535696978</v>
      </c>
      <c r="Q177" s="47">
        <f t="shared" si="22"/>
        <v>-0.7574428850332228</v>
      </c>
      <c r="R177" s="47">
        <f t="shared" si="23"/>
        <v>-0.4198574471324146</v>
      </c>
      <c r="S177" s="48">
        <f t="shared" si="24"/>
        <v>240</v>
      </c>
      <c r="T177" s="48">
        <f>ASIN(R177/SQRT(P177^2+Q177^2+R177^2))*180/PI()</f>
        <v>-25.64313482493521</v>
      </c>
      <c r="U177" s="49">
        <f t="shared" si="25"/>
        <v>240</v>
      </c>
      <c r="V177" s="48">
        <f t="shared" si="26"/>
        <v>150</v>
      </c>
      <c r="W177" s="50">
        <f t="shared" si="27"/>
        <v>64.3568651750648</v>
      </c>
      <c r="X177" s="51"/>
      <c r="Y177" s="52"/>
      <c r="Z177" s="53" t="s">
        <v>48</v>
      </c>
      <c r="AA177" s="40">
        <v>0</v>
      </c>
      <c r="AB177" s="43">
        <v>131</v>
      </c>
      <c r="AC177" s="54"/>
      <c r="AD177" s="55"/>
      <c r="AE177" s="49">
        <f t="shared" si="29"/>
        <v>240</v>
      </c>
      <c r="AF177" s="48">
        <f t="shared" si="28"/>
        <v>150</v>
      </c>
      <c r="AG177" s="48">
        <f t="shared" si="30"/>
        <v>64.3568651750648</v>
      </c>
      <c r="AH177" s="56"/>
      <c r="AI177" s="53" t="str">
        <f>Z177</f>
        <v>N</v>
      </c>
    </row>
    <row r="178" spans="1:35" s="39" customFormat="1" ht="12.75">
      <c r="A178" s="81">
        <v>167.01</v>
      </c>
      <c r="B178" s="43" t="s">
        <v>96</v>
      </c>
      <c r="C178" s="43" t="s">
        <v>113</v>
      </c>
      <c r="D178" s="43" t="s">
        <v>52</v>
      </c>
      <c r="E178" s="40" t="s">
        <v>46</v>
      </c>
      <c r="F178" s="41">
        <v>34</v>
      </c>
      <c r="G178" s="42">
        <v>34</v>
      </c>
      <c r="H178" s="1"/>
      <c r="I178" s="30"/>
      <c r="J178" s="40">
        <v>270</v>
      </c>
      <c r="K178" s="45">
        <v>2</v>
      </c>
      <c r="L178" s="45">
        <v>0</v>
      </c>
      <c r="M178" s="45">
        <v>1</v>
      </c>
      <c r="N178" s="45"/>
      <c r="O178" s="46"/>
      <c r="P178" s="47">
        <f aca="true" t="shared" si="31" ref="P178:P186">COS(K178*PI()/180)*SIN(J178*PI()/180)*(SIN(M178*PI()/180))-(COS(M178*PI()/180)*SIN(L178*PI()/180))*(SIN(K178*PI()/180))</f>
        <v>-0.017441774902830158</v>
      </c>
      <c r="Q178" s="47">
        <f aca="true" t="shared" si="32" ref="Q178:Q186">(SIN(K178*PI()/180))*(COS(M178*PI()/180)*COS(L178*PI()/180))-(SIN(M178*PI()/180))*(COS(K178*PI()/180)*COS(J178*PI()/180))</f>
        <v>0.03489418134011367</v>
      </c>
      <c r="R178" s="47">
        <f aca="true" t="shared" si="33" ref="R178:R186">(COS(K178*PI()/180)*COS(J178*PI()/180))*(COS(M178*PI()/180)*SIN(L178*PI()/180))-(COS(K178*PI()/180)*SIN(J178*PI()/180))*(COS(M178*PI()/180)*COS(L178*PI()/180))</f>
        <v>0.9992386149554826</v>
      </c>
      <c r="S178" s="48">
        <f aca="true" t="shared" si="34" ref="S178:S186">IF(P178=0,IF(Q178&gt;=0,90,270),IF(P178&gt;0,IF(Q178&gt;=0,ATAN(Q178/P178)*180/PI(),ATAN(Q178/P178)*180/PI()+360),ATAN(Q178/P178)*180/PI()+180))</f>
        <v>116.5580680165811</v>
      </c>
      <c r="T178" s="48">
        <f>ASIN(R178/SQRT(P178^2+Q178^2+R178^2))*180/PI()</f>
        <v>87.76429506217735</v>
      </c>
      <c r="U178" s="49">
        <f aca="true" t="shared" si="35" ref="U178:U186">IF(R178&lt;0,S178,IF(S178+180&gt;=360,S178-180,S178+180))</f>
        <v>296.5580680165811</v>
      </c>
      <c r="V178" s="48">
        <f aca="true" t="shared" si="36" ref="V178:V186">IF(U178-90&lt;0,U178+270,U178-90)</f>
        <v>206.5580680165811</v>
      </c>
      <c r="W178" s="50">
        <f aca="true" t="shared" si="37" ref="W178:W186">IF(R178&lt;0,90+T178,90-T178)</f>
        <v>2.2357049378226463</v>
      </c>
      <c r="X178" s="51"/>
      <c r="Y178" s="52"/>
      <c r="Z178" s="53"/>
      <c r="AA178" s="40">
        <v>23</v>
      </c>
      <c r="AB178" s="43">
        <v>39</v>
      </c>
      <c r="AC178" s="54"/>
      <c r="AD178" s="55"/>
      <c r="AE178" s="49">
        <f t="shared" si="29"/>
        <v>296.5580680165811</v>
      </c>
      <c r="AF178" s="48">
        <f t="shared" si="28"/>
        <v>206.5580680165811</v>
      </c>
      <c r="AG178" s="48">
        <f t="shared" si="30"/>
        <v>2.2357049378226463</v>
      </c>
      <c r="AH178" s="56"/>
      <c r="AI178" s="53"/>
    </row>
    <row r="179" spans="1:35" s="39" customFormat="1" ht="12.75">
      <c r="A179" s="81">
        <v>167.06</v>
      </c>
      <c r="B179" s="43" t="s">
        <v>96</v>
      </c>
      <c r="C179" s="43" t="s">
        <v>114</v>
      </c>
      <c r="D179" s="43">
        <v>1</v>
      </c>
      <c r="E179" s="40" t="s">
        <v>46</v>
      </c>
      <c r="F179" s="41">
        <v>27</v>
      </c>
      <c r="G179" s="42">
        <v>27</v>
      </c>
      <c r="H179" s="1"/>
      <c r="I179" s="30"/>
      <c r="J179" s="40">
        <v>270</v>
      </c>
      <c r="K179" s="45">
        <v>0</v>
      </c>
      <c r="L179" s="45">
        <v>0</v>
      </c>
      <c r="M179" s="45">
        <v>5</v>
      </c>
      <c r="N179" s="45"/>
      <c r="O179" s="46"/>
      <c r="P179" s="47">
        <f t="shared" si="31"/>
        <v>-0.08715574274765817</v>
      </c>
      <c r="Q179" s="47">
        <f t="shared" si="32"/>
        <v>1.6010250207484456E-17</v>
      </c>
      <c r="R179" s="47">
        <f t="shared" si="33"/>
        <v>0.9961946980917455</v>
      </c>
      <c r="S179" s="48">
        <f t="shared" si="34"/>
        <v>180</v>
      </c>
      <c r="T179" s="48">
        <f>ASIN(R179/SQRT(P179^2+Q179^2+R179^2))*180/PI()</f>
        <v>85</v>
      </c>
      <c r="U179" s="49">
        <f t="shared" si="35"/>
        <v>0</v>
      </c>
      <c r="V179" s="48">
        <f t="shared" si="36"/>
        <v>270</v>
      </c>
      <c r="W179" s="50">
        <f t="shared" si="37"/>
        <v>5</v>
      </c>
      <c r="X179" s="51"/>
      <c r="Y179" s="52"/>
      <c r="Z179" s="53"/>
      <c r="AA179" s="40">
        <v>0</v>
      </c>
      <c r="AB179" s="43">
        <v>51</v>
      </c>
      <c r="AC179" s="54"/>
      <c r="AD179" s="55"/>
      <c r="AE179" s="49">
        <f t="shared" si="29"/>
        <v>0</v>
      </c>
      <c r="AF179" s="48">
        <f t="shared" si="28"/>
        <v>270</v>
      </c>
      <c r="AG179" s="48">
        <f t="shared" si="30"/>
        <v>5</v>
      </c>
      <c r="AH179" s="56"/>
      <c r="AI179" s="53"/>
    </row>
    <row r="180" spans="1:35" s="39" customFormat="1" ht="12.75">
      <c r="A180" s="81">
        <v>167.84</v>
      </c>
      <c r="B180" s="43" t="s">
        <v>96</v>
      </c>
      <c r="C180" s="43" t="s">
        <v>114</v>
      </c>
      <c r="D180" s="43">
        <v>3</v>
      </c>
      <c r="E180" s="40" t="s">
        <v>46</v>
      </c>
      <c r="F180" s="41">
        <v>40</v>
      </c>
      <c r="G180" s="42">
        <v>40</v>
      </c>
      <c r="H180" s="1"/>
      <c r="I180" s="30"/>
      <c r="J180" s="40">
        <v>270</v>
      </c>
      <c r="K180" s="45">
        <v>18</v>
      </c>
      <c r="L180" s="45">
        <v>0</v>
      </c>
      <c r="M180" s="45">
        <v>6</v>
      </c>
      <c r="N180" s="45"/>
      <c r="O180" s="46"/>
      <c r="P180" s="47">
        <f t="shared" si="31"/>
        <v>-0.09941247612902042</v>
      </c>
      <c r="Q180" s="47">
        <f t="shared" si="32"/>
        <v>0.3073241669467797</v>
      </c>
      <c r="R180" s="47">
        <f t="shared" si="33"/>
        <v>0.9458465291882032</v>
      </c>
      <c r="S180" s="48">
        <f t="shared" si="34"/>
        <v>107.92523109078721</v>
      </c>
      <c r="T180" s="48">
        <f>ASIN(R180/SQRT(P180^2+Q180^2+R180^2))*180/PI()</f>
        <v>71.14515483590961</v>
      </c>
      <c r="U180" s="49">
        <f t="shared" si="35"/>
        <v>287.9252310907872</v>
      </c>
      <c r="V180" s="48">
        <f t="shared" si="36"/>
        <v>197.92523109078718</v>
      </c>
      <c r="W180" s="50">
        <f t="shared" si="37"/>
        <v>18.854845164090392</v>
      </c>
      <c r="X180" s="51"/>
      <c r="Y180" s="52"/>
      <c r="Z180" s="53"/>
      <c r="AA180" s="40">
        <v>0</v>
      </c>
      <c r="AB180" s="43">
        <v>100</v>
      </c>
      <c r="AC180" s="54"/>
      <c r="AD180" s="55"/>
      <c r="AE180" s="49">
        <f t="shared" si="29"/>
        <v>287.9252310907872</v>
      </c>
      <c r="AF180" s="48">
        <f t="shared" si="28"/>
        <v>197.92523109078718</v>
      </c>
      <c r="AG180" s="48">
        <f t="shared" si="30"/>
        <v>18.854845164090392</v>
      </c>
      <c r="AH180" s="56"/>
      <c r="AI180" s="53"/>
    </row>
    <row r="181" spans="1:35" s="39" customFormat="1" ht="12.75">
      <c r="A181" s="81">
        <v>168.715</v>
      </c>
      <c r="B181" s="43" t="s">
        <v>96</v>
      </c>
      <c r="C181" s="43" t="s">
        <v>114</v>
      </c>
      <c r="D181" s="43">
        <v>5</v>
      </c>
      <c r="E181" s="40" t="s">
        <v>46</v>
      </c>
      <c r="F181" s="41">
        <v>23</v>
      </c>
      <c r="G181" s="42">
        <v>23</v>
      </c>
      <c r="H181" s="1"/>
      <c r="I181" s="30"/>
      <c r="J181" s="40">
        <v>90</v>
      </c>
      <c r="K181" s="45">
        <v>7</v>
      </c>
      <c r="L181" s="45">
        <v>0</v>
      </c>
      <c r="M181" s="45">
        <v>2</v>
      </c>
      <c r="N181" s="45"/>
      <c r="O181" s="46"/>
      <c r="P181" s="47">
        <f t="shared" si="31"/>
        <v>0.034639361146286345</v>
      </c>
      <c r="Q181" s="47">
        <f t="shared" si="32"/>
        <v>0.12179510389394452</v>
      </c>
      <c r="R181" s="47">
        <f t="shared" si="33"/>
        <v>-0.9919415193434417</v>
      </c>
      <c r="S181" s="48">
        <f t="shared" si="34"/>
        <v>74.12388521790743</v>
      </c>
      <c r="T181" s="48">
        <f>ASIN(R181/SQRT(P181^2+Q181^2+R181^2))*180/PI()</f>
        <v>-82.72531708215082</v>
      </c>
      <c r="U181" s="49">
        <f t="shared" si="35"/>
        <v>74.12388521790743</v>
      </c>
      <c r="V181" s="48">
        <f t="shared" si="36"/>
        <v>344.1238852179074</v>
      </c>
      <c r="W181" s="50">
        <f t="shared" si="37"/>
        <v>7.2746829178491765</v>
      </c>
      <c r="X181" s="51"/>
      <c r="Y181" s="52"/>
      <c r="Z181" s="53"/>
      <c r="AA181" s="40">
        <v>0</v>
      </c>
      <c r="AB181" s="43">
        <v>39</v>
      </c>
      <c r="AC181" s="54"/>
      <c r="AD181" s="55"/>
      <c r="AE181" s="49">
        <f t="shared" si="29"/>
        <v>74.12388521790743</v>
      </c>
      <c r="AF181" s="48">
        <f t="shared" si="28"/>
        <v>344.1238852179074</v>
      </c>
      <c r="AG181" s="48">
        <f t="shared" si="30"/>
        <v>7.2746829178491765</v>
      </c>
      <c r="AH181" s="56"/>
      <c r="AI181" s="53"/>
    </row>
    <row r="182" spans="1:35" s="39" customFormat="1" ht="21">
      <c r="A182" s="81">
        <v>168.985</v>
      </c>
      <c r="B182" s="43" t="s">
        <v>96</v>
      </c>
      <c r="C182" s="43" t="s">
        <v>114</v>
      </c>
      <c r="D182" s="43">
        <v>7</v>
      </c>
      <c r="E182" s="40" t="s">
        <v>46</v>
      </c>
      <c r="F182" s="41">
        <v>3</v>
      </c>
      <c r="G182" s="42">
        <v>3</v>
      </c>
      <c r="H182" s="1"/>
      <c r="I182" s="30"/>
      <c r="J182" s="40">
        <v>90</v>
      </c>
      <c r="K182" s="45">
        <v>8</v>
      </c>
      <c r="L182" s="45">
        <v>0</v>
      </c>
      <c r="M182" s="45">
        <v>8</v>
      </c>
      <c r="N182" s="45"/>
      <c r="O182" s="46"/>
      <c r="P182" s="47">
        <f t="shared" si="31"/>
        <v>0.13781867790849958</v>
      </c>
      <c r="Q182" s="47">
        <f t="shared" si="32"/>
        <v>0.13781867790849958</v>
      </c>
      <c r="R182" s="47">
        <f t="shared" si="33"/>
        <v>-0.9806308479691596</v>
      </c>
      <c r="S182" s="48">
        <f t="shared" si="34"/>
        <v>45</v>
      </c>
      <c r="T182" s="48">
        <f>ASIN(R182/SQRT(P182^2+Q182^2+R182^2))*180/PI()</f>
        <v>-78.75868710958437</v>
      </c>
      <c r="U182" s="49">
        <f t="shared" si="35"/>
        <v>45</v>
      </c>
      <c r="V182" s="48">
        <f t="shared" si="36"/>
        <v>315</v>
      </c>
      <c r="W182" s="50">
        <f t="shared" si="37"/>
        <v>11.241312890415628</v>
      </c>
      <c r="X182" s="51"/>
      <c r="Y182" s="52"/>
      <c r="Z182" s="53"/>
      <c r="AA182" s="40">
        <v>0</v>
      </c>
      <c r="AB182" s="43">
        <v>77</v>
      </c>
      <c r="AC182" s="54"/>
      <c r="AD182" s="55"/>
      <c r="AE182" s="49">
        <f t="shared" si="29"/>
        <v>45</v>
      </c>
      <c r="AF182" s="48">
        <f t="shared" si="28"/>
        <v>315</v>
      </c>
      <c r="AG182" s="48">
        <f t="shared" si="30"/>
        <v>11.241312890415628</v>
      </c>
      <c r="AH182" s="56"/>
      <c r="AI182" s="53"/>
    </row>
    <row r="183" spans="1:35" s="39" customFormat="1" ht="12.75">
      <c r="A183" s="81">
        <v>171.125</v>
      </c>
      <c r="B183" s="43" t="s">
        <v>96</v>
      </c>
      <c r="C183" s="43" t="s">
        <v>114</v>
      </c>
      <c r="D183" s="43">
        <v>8</v>
      </c>
      <c r="E183" s="40" t="s">
        <v>46</v>
      </c>
      <c r="F183" s="41">
        <v>85</v>
      </c>
      <c r="G183" s="42">
        <v>86</v>
      </c>
      <c r="H183" s="1"/>
      <c r="I183" s="30"/>
      <c r="J183" s="40">
        <v>270</v>
      </c>
      <c r="K183" s="45">
        <v>5</v>
      </c>
      <c r="L183" s="45">
        <v>180</v>
      </c>
      <c r="M183" s="45">
        <v>3</v>
      </c>
      <c r="N183" s="45"/>
      <c r="O183" s="46"/>
      <c r="P183" s="47">
        <f t="shared" si="31"/>
        <v>-0.052136802128782245</v>
      </c>
      <c r="Q183" s="47">
        <f t="shared" si="32"/>
        <v>-0.08703629883128318</v>
      </c>
      <c r="R183" s="47">
        <f t="shared" si="33"/>
        <v>-0.994829447880333</v>
      </c>
      <c r="S183" s="48">
        <f t="shared" si="34"/>
        <v>239.07739373007206</v>
      </c>
      <c r="T183" s="48">
        <f>ASIN(R183/SQRT(P183^2+Q183^2+R183^2))*180/PI()</f>
        <v>-84.17685049823567</v>
      </c>
      <c r="U183" s="49">
        <f t="shared" si="35"/>
        <v>239.07739373007206</v>
      </c>
      <c r="V183" s="48">
        <f t="shared" si="36"/>
        <v>149.07739373007206</v>
      </c>
      <c r="W183" s="50">
        <f t="shared" si="37"/>
        <v>5.823149501764334</v>
      </c>
      <c r="X183" s="51"/>
      <c r="Y183" s="52"/>
      <c r="Z183" s="53"/>
      <c r="AA183" s="40">
        <v>51</v>
      </c>
      <c r="AB183" s="43">
        <v>130</v>
      </c>
      <c r="AC183" s="54"/>
      <c r="AD183" s="55"/>
      <c r="AE183" s="49">
        <f t="shared" si="29"/>
        <v>239.07739373007206</v>
      </c>
      <c r="AF183" s="48">
        <f t="shared" si="28"/>
        <v>149.07739373007206</v>
      </c>
      <c r="AG183" s="48">
        <f t="shared" si="30"/>
        <v>5.823149501764334</v>
      </c>
      <c r="AH183" s="56"/>
      <c r="AI183" s="53"/>
    </row>
    <row r="184" spans="1:35" s="39" customFormat="1" ht="12.75">
      <c r="A184" s="81">
        <v>173.785</v>
      </c>
      <c r="B184" s="43" t="s">
        <v>96</v>
      </c>
      <c r="C184" s="43" t="s">
        <v>114</v>
      </c>
      <c r="D184" s="43">
        <v>11</v>
      </c>
      <c r="E184" s="40" t="s">
        <v>46</v>
      </c>
      <c r="F184" s="41">
        <v>87</v>
      </c>
      <c r="G184" s="42">
        <v>88</v>
      </c>
      <c r="H184" s="1"/>
      <c r="I184" s="30"/>
      <c r="J184" s="40">
        <v>270</v>
      </c>
      <c r="K184" s="45">
        <v>4</v>
      </c>
      <c r="L184" s="45">
        <v>0</v>
      </c>
      <c r="M184" s="45">
        <v>4</v>
      </c>
      <c r="N184" s="45"/>
      <c r="O184" s="46"/>
      <c r="P184" s="47">
        <f t="shared" si="31"/>
        <v>-0.06958655048003272</v>
      </c>
      <c r="Q184" s="47">
        <f t="shared" si="32"/>
        <v>0.06958655048003273</v>
      </c>
      <c r="R184" s="47">
        <f t="shared" si="33"/>
        <v>0.9951340343707851</v>
      </c>
      <c r="S184" s="48">
        <f t="shared" si="34"/>
        <v>135</v>
      </c>
      <c r="T184" s="48">
        <f>ASIN(R184/SQRT(P184^2+Q184^2+R184^2))*180/PI()</f>
        <v>84.35230034984484</v>
      </c>
      <c r="U184" s="49">
        <f t="shared" si="35"/>
        <v>315</v>
      </c>
      <c r="V184" s="48">
        <f t="shared" si="36"/>
        <v>225</v>
      </c>
      <c r="W184" s="50">
        <f t="shared" si="37"/>
        <v>5.647699650155161</v>
      </c>
      <c r="X184" s="51"/>
      <c r="Y184" s="52"/>
      <c r="Z184" s="53"/>
      <c r="AA184" s="40">
        <v>0</v>
      </c>
      <c r="AB184" s="43">
        <v>94</v>
      </c>
      <c r="AC184" s="54"/>
      <c r="AD184" s="55"/>
      <c r="AE184" s="49">
        <f t="shared" si="29"/>
        <v>315</v>
      </c>
      <c r="AF184" s="48">
        <f t="shared" si="28"/>
        <v>225</v>
      </c>
      <c r="AG184" s="48">
        <f t="shared" si="30"/>
        <v>5.647699650155161</v>
      </c>
      <c r="AH184" s="56"/>
      <c r="AI184" s="53"/>
    </row>
    <row r="185" spans="1:35" s="39" customFormat="1" ht="12.75">
      <c r="A185" s="81">
        <v>174.095</v>
      </c>
      <c r="B185" s="43" t="s">
        <v>96</v>
      </c>
      <c r="C185" s="43" t="s">
        <v>114</v>
      </c>
      <c r="D185" s="43">
        <v>11</v>
      </c>
      <c r="E185" s="40" t="s">
        <v>47</v>
      </c>
      <c r="F185" s="41">
        <v>118</v>
      </c>
      <c r="G185" s="42">
        <v>128</v>
      </c>
      <c r="H185" s="1"/>
      <c r="I185" s="30"/>
      <c r="J185" s="40">
        <v>270</v>
      </c>
      <c r="K185" s="45">
        <v>56</v>
      </c>
      <c r="L185" s="45">
        <v>0</v>
      </c>
      <c r="M185" s="45">
        <v>39</v>
      </c>
      <c r="N185" s="45"/>
      <c r="O185" s="46"/>
      <c r="P185" s="47">
        <f t="shared" si="31"/>
        <v>-0.3519114966845044</v>
      </c>
      <c r="Q185" s="47">
        <f t="shared" si="32"/>
        <v>0.6442832014072412</v>
      </c>
      <c r="R185" s="47">
        <f t="shared" si="33"/>
        <v>0.4345745066076887</v>
      </c>
      <c r="S185" s="48">
        <f t="shared" si="34"/>
        <v>118.64364185924718</v>
      </c>
      <c r="T185" s="48">
        <f>ASIN(R185/SQRT(P185^2+Q185^2+R185^2))*180/PI()</f>
        <v>30.623873197135104</v>
      </c>
      <c r="U185" s="49">
        <f t="shared" si="35"/>
        <v>298.64364185924717</v>
      </c>
      <c r="V185" s="48">
        <f t="shared" si="36"/>
        <v>208.64364185924717</v>
      </c>
      <c r="W185" s="50">
        <f t="shared" si="37"/>
        <v>59.376126802864896</v>
      </c>
      <c r="X185" s="51"/>
      <c r="Y185" s="52"/>
      <c r="Z185" s="53"/>
      <c r="AA185" s="40">
        <v>104</v>
      </c>
      <c r="AB185" s="43">
        <v>131</v>
      </c>
      <c r="AC185" s="54"/>
      <c r="AD185" s="55"/>
      <c r="AE185" s="49">
        <f t="shared" si="29"/>
        <v>298.64364185924717</v>
      </c>
      <c r="AF185" s="48">
        <f t="shared" si="28"/>
        <v>208.64364185924717</v>
      </c>
      <c r="AG185" s="48">
        <f t="shared" si="30"/>
        <v>59.376126802864896</v>
      </c>
      <c r="AH185" s="56"/>
      <c r="AI185" s="53"/>
    </row>
    <row r="186" spans="1:35" s="39" customFormat="1" ht="21.75" thickBot="1">
      <c r="A186" s="82">
        <v>174.325</v>
      </c>
      <c r="B186" s="60" t="s">
        <v>96</v>
      </c>
      <c r="C186" s="60" t="s">
        <v>114</v>
      </c>
      <c r="D186" s="60">
        <v>12</v>
      </c>
      <c r="E186" s="61" t="s">
        <v>102</v>
      </c>
      <c r="F186" s="62">
        <v>10</v>
      </c>
      <c r="G186" s="63">
        <v>23</v>
      </c>
      <c r="H186" s="3"/>
      <c r="I186" s="77"/>
      <c r="J186" s="61">
        <v>270</v>
      </c>
      <c r="K186" s="65">
        <v>59</v>
      </c>
      <c r="L186" s="65">
        <v>0</v>
      </c>
      <c r="M186" s="65">
        <v>38</v>
      </c>
      <c r="N186" s="65"/>
      <c r="O186" s="66"/>
      <c r="P186" s="67">
        <f t="shared" si="31"/>
        <v>-0.3170891010480109</v>
      </c>
      <c r="Q186" s="67">
        <f t="shared" si="32"/>
        <v>0.6754570505933112</v>
      </c>
      <c r="R186" s="67">
        <f t="shared" si="33"/>
        <v>0.4058555415460273</v>
      </c>
      <c r="S186" s="68">
        <f t="shared" si="34"/>
        <v>115.1474153172826</v>
      </c>
      <c r="T186" s="68">
        <f>ASIN(R186/SQRT(P186^2+Q186^2+R186^2))*180/PI()</f>
        <v>28.542189939230802</v>
      </c>
      <c r="U186" s="69">
        <f t="shared" si="35"/>
        <v>295.1474153172826</v>
      </c>
      <c r="V186" s="68">
        <f t="shared" si="36"/>
        <v>205.1474153172826</v>
      </c>
      <c r="W186" s="70">
        <f t="shared" si="37"/>
        <v>61.4578100607692</v>
      </c>
      <c r="X186" s="71"/>
      <c r="Y186" s="72"/>
      <c r="Z186" s="73"/>
      <c r="AA186" s="61">
        <v>0</v>
      </c>
      <c r="AB186" s="60">
        <v>131</v>
      </c>
      <c r="AC186" s="74"/>
      <c r="AD186" s="75"/>
      <c r="AE186" s="69">
        <f t="shared" si="29"/>
        <v>295.1474153172826</v>
      </c>
      <c r="AF186" s="68">
        <f t="shared" si="28"/>
        <v>205.1474153172826</v>
      </c>
      <c r="AG186" s="68">
        <f t="shared" si="30"/>
        <v>61.4578100607692</v>
      </c>
      <c r="AH186" s="76"/>
      <c r="AI186" s="73"/>
    </row>
    <row r="187" spans="5:33" ht="12.75">
      <c r="E187" s="1"/>
      <c r="F187" s="11"/>
      <c r="G187" s="13"/>
      <c r="J187" s="1"/>
      <c r="K187" s="1"/>
      <c r="L187" s="1"/>
      <c r="M187" s="1"/>
      <c r="N187" s="1" t="s">
        <v>42</v>
      </c>
      <c r="O187" s="38" t="s">
        <v>26</v>
      </c>
      <c r="P187" s="15"/>
      <c r="Q187" s="15"/>
      <c r="R187" s="15"/>
      <c r="S187" s="15"/>
      <c r="T187" s="15"/>
      <c r="U187" s="15"/>
      <c r="V187" s="15"/>
      <c r="W187" s="15"/>
      <c r="X187" s="15"/>
      <c r="Y187" s="25"/>
      <c r="Z187" s="20"/>
      <c r="AA187" s="1"/>
      <c r="AB187" s="1"/>
      <c r="AC187" s="23"/>
      <c r="AD187" s="1"/>
      <c r="AE187" s="1"/>
      <c r="AF187" s="1"/>
      <c r="AG187" s="1"/>
    </row>
    <row r="188" spans="5:33" ht="12.75">
      <c r="E188" s="1"/>
      <c r="F188" s="11"/>
      <c r="G188" s="13"/>
      <c r="J188" s="1"/>
      <c r="K188" s="1"/>
      <c r="L188" s="1"/>
      <c r="M188" s="1"/>
      <c r="N188" s="1"/>
      <c r="O188" s="33" t="s">
        <v>27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20"/>
      <c r="AA188" s="1"/>
      <c r="AB188" s="1"/>
      <c r="AC188" s="24"/>
      <c r="AD188" s="1"/>
      <c r="AE188" s="1"/>
      <c r="AF188" s="1"/>
      <c r="AG188" s="1"/>
    </row>
    <row r="189" spans="6:26" ht="12.75">
      <c r="F189" s="12"/>
      <c r="G189" s="14"/>
      <c r="O189" s="33" t="s">
        <v>28</v>
      </c>
      <c r="P189" s="1"/>
      <c r="Z189" s="21"/>
    </row>
    <row r="190" spans="6:26" ht="12.75">
      <c r="F190" s="12"/>
      <c r="G190" s="14"/>
      <c r="O190" s="33"/>
      <c r="P190" s="1"/>
      <c r="Z190" s="21"/>
    </row>
    <row r="191" spans="6:26" ht="12.75">
      <c r="F191" s="12"/>
      <c r="G191" s="14"/>
      <c r="O191" s="33"/>
      <c r="P191" s="1"/>
      <c r="Z191" s="21"/>
    </row>
    <row r="192" spans="6:26" ht="12.75">
      <c r="F192" s="12"/>
      <c r="G192" s="14"/>
      <c r="O192" s="33"/>
      <c r="P192" s="1"/>
      <c r="Z192" s="21"/>
    </row>
    <row r="193" spans="6:26" ht="12.75">
      <c r="F193" s="12"/>
      <c r="G193" s="14"/>
      <c r="O193" s="33"/>
      <c r="P193" s="1"/>
      <c r="Z193" s="21"/>
    </row>
    <row r="194" spans="6:26" ht="12.75">
      <c r="F194" s="12"/>
      <c r="G194" s="14"/>
      <c r="O194" s="33"/>
      <c r="P194" s="1"/>
      <c r="Z194" s="21"/>
    </row>
  </sheetData>
  <mergeCells count="18">
    <mergeCell ref="B1:B2"/>
    <mergeCell ref="C1:C2"/>
    <mergeCell ref="D1:D2"/>
    <mergeCell ref="E1:E2"/>
    <mergeCell ref="J1:K1"/>
    <mergeCell ref="L1:M1"/>
    <mergeCell ref="N1:O1"/>
    <mergeCell ref="P1:T1"/>
    <mergeCell ref="F1:F2"/>
    <mergeCell ref="G1:G2"/>
    <mergeCell ref="H1:H2"/>
    <mergeCell ref="I1:I2"/>
    <mergeCell ref="AE1:AG1"/>
    <mergeCell ref="AH1:AI1"/>
    <mergeCell ref="U1:W1"/>
    <mergeCell ref="X1:Z1"/>
    <mergeCell ref="AA1:AB1"/>
    <mergeCell ref="AC1:AD1"/>
  </mergeCells>
  <printOptions/>
  <pageMargins left="0.7480314960629921" right="0.7480314960629921" top="0.984251968503937" bottom="0.984251968503937" header="0.5118110236220472" footer="0.5118110236220472"/>
  <pageSetup fitToHeight="2" fitToWidth="1" orientation="landscape" paperSize="9" scale="3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 of Pennsylvania Geoscience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Lewis</dc:creator>
  <cp:keywords/>
  <dc:description/>
  <cp:lastModifiedBy>金川 久一</cp:lastModifiedBy>
  <cp:lastPrinted>2008-02-04T03:30:34Z</cp:lastPrinted>
  <dcterms:created xsi:type="dcterms:W3CDTF">2007-11-18T21:30:59Z</dcterms:created>
  <dcterms:modified xsi:type="dcterms:W3CDTF">2009-08-26T02:25:29Z</dcterms:modified>
  <cp:category/>
  <cp:version/>
  <cp:contentType/>
  <cp:contentStatus/>
</cp:coreProperties>
</file>