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3620" windowHeight="13170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31" i="4" l="1"/>
  <c r="M31" i="4"/>
  <c r="L31" i="4"/>
  <c r="P31" i="4"/>
  <c r="G30" i="4"/>
  <c r="M30" i="4"/>
  <c r="L30" i="4"/>
  <c r="P30" i="4"/>
  <c r="M39" i="4"/>
  <c r="E9" i="4"/>
  <c r="F40" i="4"/>
  <c r="F41" i="4"/>
  <c r="J31" i="4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29" i="4"/>
  <c r="M29" i="4"/>
  <c r="G32" i="4"/>
  <c r="M32" i="4"/>
  <c r="G33" i="4"/>
  <c r="M33" i="4"/>
  <c r="G34" i="4"/>
  <c r="M34" i="4"/>
  <c r="J23" i="4"/>
  <c r="P23" i="4"/>
  <c r="B23" i="4"/>
  <c r="B24" i="4"/>
  <c r="B25" i="4"/>
  <c r="B26" i="4"/>
  <c r="B27" i="4"/>
  <c r="B28" i="4"/>
  <c r="B29" i="4"/>
  <c r="B30" i="4"/>
  <c r="B31" i="4"/>
  <c r="B32" i="4"/>
  <c r="B33" i="4"/>
  <c r="B34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33" i="4"/>
  <c r="H34" i="4"/>
  <c r="H19" i="4"/>
  <c r="H20" i="4"/>
  <c r="H21" i="4"/>
  <c r="H22" i="4"/>
  <c r="J34" i="4"/>
  <c r="L34" i="4"/>
  <c r="L33" i="4"/>
  <c r="J33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29" i="4"/>
  <c r="L32" i="4"/>
  <c r="P21" i="4"/>
  <c r="P28" i="4"/>
  <c r="P20" i="4"/>
  <c r="P33" i="4"/>
  <c r="P24" i="4"/>
  <c r="P19" i="4"/>
  <c r="P29" i="4"/>
  <c r="P27" i="4"/>
  <c r="P22" i="4"/>
  <c r="P34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<sst xmlns="http://schemas.openxmlformats.org/spreadsheetml/2006/main" count="80" uniqueCount="70">
  <si>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</si>
  <si>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</si>
  <si>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</si>
  <si>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</si>
  <si>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</si>
  <si>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</si>
  <si>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</si>
  <si>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</si>
  <si>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</si>
  <si>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</si>
  <si>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</si>
  <si>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</si>
  <si>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</si>
  <si>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</si>
  <si>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</si>
  <si>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</si>
  <si>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</si>
  <si>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</si>
  <si>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</si>
  <si>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</si>
  <si>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</si>
  <si>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</si>
  <si>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</si>
  <si>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</si>
  <si>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</si>
  <si>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</si>
  <si>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</si>
  <si>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</si>
  <si>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</si>
  <si>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</si>
  <si>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</si>
  <si>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</si>
  <si>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</si>
  <si>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</si>
  <si>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</si>
  <si>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</si>
  <si>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</si>
  <si>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</si>
  <si>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</si>
  <si>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</si>
  <si>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</si>
  <si>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</si>
  <si>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GS054</t>
  </si>
  <si>
    <t>CAA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</si>
  <si>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</si>
  <si>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</si>
  <si>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</si>
  <si>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</si>
  <si>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</si>
  <si>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</si>
  <si>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</si>
  <si>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</si>
  <si>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</si>
  <si>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</si>
  <si>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</si>
  <si>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</si>
  <si>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</si>
  <si>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</si>
  <si>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</si>
  <si>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</si>
  <si>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</si>
  <si>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</si>
  <si>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</si>
  <si>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</si>
  <si>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</si>
  <si>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</si>
  <si>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</si>
  <si>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</si>
  <si>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 xml:space="preserve">C0009A  </t>
  </si>
  <si>
    <t>3R-1 54-62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</si>
</sst>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0" fontId="1" fillId="0" borderId="12" xfId="0" applyFont="1" applyFill="1" applyBorder="1" applyAlignment="1"/>
    <xf numFmtId="0" fontId="0" fillId="0" borderId="12" xfId="0" applyFill="1" applyBorder="1" applyAlignment="1"/>
    <xf numFmtId="2" fontId="0" fillId="0" borderId="12" xfId="0" applyNumberFormat="1" applyFill="1" applyBorder="1"/>
    <xf numFmtId="0" fontId="0" fillId="0" borderId="6" xfId="0" applyFill="1" applyBorder="1"/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11" xfId="0" applyFill="1" applyBorder="1" applyAlignment="1">
      <alignment horizontal="left"/>
    </xf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165" fontId="0" fillId="0" borderId="39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1" fillId="0" borderId="11" xfId="0" applyFont="1" applyFill="1" applyBorder="1" applyAlignment="1"/>
    <xf numFmtId="0" fontId="0" fillId="0" borderId="11" xfId="0" applyFill="1" applyBorder="1" applyAlignment="1"/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shrinkToFit="1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33408"/>
        <c:axId val="42834944"/>
      </c:scatterChart>
      <c:valAx>
        <c:axId val="42833408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34944"/>
        <c:crosses val="autoZero"/>
        <c:crossBetween val="midCat"/>
      </c:valAx>
      <c:valAx>
        <c:axId val="42834944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334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7.6782140488923539E-2</c:v>
                </c:pt>
                <c:pt idx="1">
                  <c:v>6.2671926514337603E-2</c:v>
                </c:pt>
                <c:pt idx="2">
                  <c:v>4.4728374381455896E-2</c:v>
                </c:pt>
                <c:pt idx="3">
                  <c:v>3.6854396057151614E-2</c:v>
                </c:pt>
                <c:pt idx="4">
                  <c:v>3.2131966009955701E-2</c:v>
                </c:pt>
                <c:pt idx="5">
                  <c:v>2.1883717794132718E-2</c:v>
                </c:pt>
                <c:pt idx="6">
                  <c:v>1.5676850227258978E-2</c:v>
                </c:pt>
                <c:pt idx="7">
                  <c:v>1.1328536972762643E-2</c:v>
                </c:pt>
                <c:pt idx="8">
                  <c:v>8.1261118807999973E-3</c:v>
                </c:pt>
                <c:pt idx="9">
                  <c:v>5.8060387399155944E-3</c:v>
                </c:pt>
                <c:pt idx="10">
                  <c:v>4.1891498733508913E-3</c:v>
                </c:pt>
                <c:pt idx="11">
                  <c:v>3.3038194873377591E-3</c:v>
                </c:pt>
                <c:pt idx="12">
                  <c:v>2.2545243079699941E-3</c:v>
                </c:pt>
                <c:pt idx="13">
                  <c:v>1.2914043984278366E-3</c:v>
                </c:pt>
                <c:pt idx="14">
                  <c:v>1.120660033877326E-3</c:v>
                </c:pt>
                <c:pt idx="15">
                  <c:v>9.2625859583668664E-4</c:v>
                </c:pt>
                <c:pt idx="16">
                  <c:v>4.9700367895734432E-4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85.168534743785955</c:v>
                </c:pt>
                <c:pt idx="1">
                  <c:v>83.39693757567747</c:v>
                </c:pt>
                <c:pt idx="2">
                  <c:v>79.853743239459988</c:v>
                </c:pt>
                <c:pt idx="3">
                  <c:v>76.310548903243017</c:v>
                </c:pt>
                <c:pt idx="4">
                  <c:v>73.653153151080033</c:v>
                </c:pt>
                <c:pt idx="5">
                  <c:v>67.895462354727343</c:v>
                </c:pt>
                <c:pt idx="6">
                  <c:v>63.023570142428625</c:v>
                </c:pt>
                <c:pt idx="7">
                  <c:v>54.608483593912943</c:v>
                </c:pt>
                <c:pt idx="8">
                  <c:v>48.850792797559741</c:v>
                </c:pt>
                <c:pt idx="9">
                  <c:v>41.321504833098551</c:v>
                </c:pt>
                <c:pt idx="10">
                  <c:v>36.006713328772591</c:v>
                </c:pt>
                <c:pt idx="11">
                  <c:v>31.577720408501129</c:v>
                </c:pt>
                <c:pt idx="12">
                  <c:v>27.14872748822966</c:v>
                </c:pt>
                <c:pt idx="13">
                  <c:v>25.377130320121179</c:v>
                </c:pt>
                <c:pt idx="14">
                  <c:v>23.605533152012693</c:v>
                </c:pt>
                <c:pt idx="15">
                  <c:v>17.404943063632238</c:v>
                </c:pt>
                <c:pt idx="16">
                  <c:v>13.418849435388022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88.723051409618577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56448"/>
        <c:axId val="42858752"/>
      </c:scatterChart>
      <c:valAx>
        <c:axId val="42856448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58752"/>
        <c:crosses val="autoZero"/>
        <c:crossBetween val="midCat"/>
      </c:valAx>
      <c:valAx>
        <c:axId val="42858752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56448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sqref="A1:R48"/>
    </sheetView>
  </sheetViews>
  <sheetFormatPr defaultRowHeight="12.75" x14ac:dyDescent="0.2"/>
  <cols>
    <col min="1" max="1" width="2.7109375" customWidth="1"/>
    <col min="2" max="2" width="11.140625" customWidth="1"/>
    <col min="3" max="3" width="2.42578125" customWidth="1"/>
    <col min="4" max="4" width="5.5703125" customWidth="1"/>
    <col min="5" max="5" width="8.28515625" customWidth="1"/>
    <col min="6" max="6" width="11" customWidth="1"/>
    <col min="7" max="7" width="5.42578125" customWidth="1"/>
    <col min="8" max="8" width="5.28515625" customWidth="1"/>
    <col min="9" max="9" width="7.42578125" customWidth="1"/>
    <col min="10" max="10" width="9" customWidth="1"/>
    <col min="11" max="11" width="1.85546875" customWidth="1"/>
    <col min="13" max="14" width="4.5703125" customWidth="1"/>
    <col min="15" max="15" width="2" customWidth="1"/>
    <col min="16" max="16" width="8" customWidth="1"/>
    <col min="17" max="17" width="5.42578125" customWidth="1"/>
    <col min="18" max="18" width="2.28515625" customWidth="1"/>
    <col min="19" max="19" width="2.42578125" customWidth="1"/>
    <col min="21" max="21" width="14.42578125" bestFit="1" customWidth="1"/>
  </cols>
  <sheetData>
    <row r="1" spans="1:26" ht="21" customHeight="1" thickBot="1" x14ac:dyDescent="0.25">
      <c r="A1" s="3"/>
      <c r="B1" s="198" t="s">
        <v>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3"/>
    </row>
    <row r="2" spans="1:26" ht="17.25" customHeight="1" x14ac:dyDescent="0.2">
      <c r="A2" s="3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99" t="s">
        <v>31</v>
      </c>
      <c r="N2" s="199"/>
      <c r="O2" s="199"/>
      <c r="P2" s="200" t="s">
        <v>42</v>
      </c>
      <c r="Q2" s="201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25">
      <c r="A3" s="3"/>
      <c r="B3" s="202" t="s">
        <v>21</v>
      </c>
      <c r="C3" s="125"/>
      <c r="D3" s="55" t="s">
        <v>40</v>
      </c>
      <c r="E3" s="55"/>
      <c r="F3" s="55"/>
      <c r="G3" s="29"/>
      <c r="H3" s="29"/>
      <c r="I3" s="29"/>
      <c r="J3" s="29"/>
      <c r="K3" s="29"/>
      <c r="L3" s="30"/>
      <c r="M3" s="124" t="s">
        <v>36</v>
      </c>
      <c r="N3" s="124"/>
      <c r="O3" s="124"/>
      <c r="P3" s="203" t="s">
        <v>43</v>
      </c>
      <c r="Q3" s="204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">
      <c r="A4" s="3"/>
      <c r="B4" s="31"/>
      <c r="C4" s="26"/>
      <c r="D4" s="30"/>
      <c r="E4" s="69"/>
      <c r="F4" s="69"/>
      <c r="G4" s="30"/>
      <c r="H4" s="30"/>
      <c r="I4" s="30"/>
      <c r="J4" s="30"/>
      <c r="K4" s="103"/>
      <c r="L4" s="30"/>
      <c r="M4" s="124" t="s">
        <v>37</v>
      </c>
      <c r="N4" s="124"/>
      <c r="O4" s="124"/>
      <c r="P4" s="205">
        <v>40288</v>
      </c>
      <c r="Q4" s="206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25">
      <c r="A5" s="3"/>
      <c r="B5" s="202" t="s">
        <v>22</v>
      </c>
      <c r="C5" s="125"/>
      <c r="D5" s="118" t="s">
        <v>68</v>
      </c>
      <c r="E5" s="119"/>
      <c r="F5" s="30"/>
      <c r="G5" s="32"/>
      <c r="H5" s="33" t="s">
        <v>39</v>
      </c>
      <c r="I5" s="34" t="s">
        <v>38</v>
      </c>
      <c r="J5" s="35"/>
      <c r="K5" s="103"/>
      <c r="L5" s="36" t="s">
        <v>1</v>
      </c>
      <c r="M5" s="35"/>
      <c r="N5" s="35"/>
      <c r="O5" s="103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">
      <c r="A6" s="3"/>
      <c r="B6" s="202" t="s">
        <v>23</v>
      </c>
      <c r="C6" s="125"/>
      <c r="D6" s="38" t="s">
        <v>69</v>
      </c>
      <c r="E6" s="39"/>
      <c r="F6" s="30"/>
      <c r="G6" s="69"/>
      <c r="H6" s="26" t="s">
        <v>16</v>
      </c>
      <c r="I6" s="106">
        <v>98</v>
      </c>
      <c r="J6" s="30"/>
      <c r="K6" s="103"/>
      <c r="L6" s="26" t="s">
        <v>15</v>
      </c>
      <c r="M6" s="216">
        <v>1000</v>
      </c>
      <c r="N6" s="216"/>
      <c r="O6" s="29" t="s">
        <v>12</v>
      </c>
      <c r="R6" s="11"/>
      <c r="T6" s="22"/>
      <c r="U6" s="100"/>
      <c r="V6" s="103"/>
      <c r="W6" s="103"/>
      <c r="X6" s="110"/>
      <c r="Y6" s="111"/>
      <c r="Z6" s="103"/>
    </row>
    <row r="7" spans="1:26" ht="17.25" customHeight="1" x14ac:dyDescent="0.2">
      <c r="A7" s="3"/>
      <c r="B7" s="202" t="s">
        <v>24</v>
      </c>
      <c r="C7" s="125"/>
      <c r="D7" s="38" t="s">
        <v>41</v>
      </c>
      <c r="E7" s="39"/>
      <c r="F7" s="30"/>
      <c r="G7" s="30"/>
      <c r="H7" s="26" t="s">
        <v>15</v>
      </c>
      <c r="I7" s="40">
        <v>69.59</v>
      </c>
      <c r="J7" s="27" t="s">
        <v>12</v>
      </c>
      <c r="K7" s="28"/>
      <c r="L7" s="26" t="s">
        <v>20</v>
      </c>
      <c r="M7" s="217">
        <v>28.77</v>
      </c>
      <c r="N7" s="217"/>
      <c r="O7" s="29" t="s">
        <v>13</v>
      </c>
      <c r="Q7" s="9"/>
      <c r="R7" s="3"/>
      <c r="T7" s="22"/>
      <c r="U7" s="103"/>
      <c r="V7" s="103"/>
      <c r="W7" s="103"/>
      <c r="X7" s="103"/>
      <c r="Y7" s="103"/>
      <c r="Z7" s="103"/>
    </row>
    <row r="8" spans="1:26" ht="17.25" customHeight="1" thickBot="1" x14ac:dyDescent="0.25">
      <c r="A8" s="3"/>
      <c r="B8" s="41"/>
      <c r="C8" s="30"/>
      <c r="D8" s="26" t="s">
        <v>14</v>
      </c>
      <c r="E8" s="107">
        <v>2.66</v>
      </c>
      <c r="F8" s="27"/>
      <c r="G8" s="27"/>
      <c r="H8" s="42" t="s">
        <v>18</v>
      </c>
      <c r="I8" s="43">
        <v>8.1999999999999993</v>
      </c>
      <c r="J8" s="27" t="s">
        <v>6</v>
      </c>
      <c r="K8" s="28"/>
      <c r="L8" s="19" t="s">
        <v>63</v>
      </c>
      <c r="M8" s="35"/>
      <c r="N8" s="35"/>
      <c r="O8" s="35"/>
      <c r="Q8" s="108"/>
      <c r="R8" s="11"/>
      <c r="T8" s="22"/>
      <c r="U8" s="29"/>
      <c r="V8" s="29"/>
      <c r="W8" s="29"/>
      <c r="X8" s="29"/>
      <c r="Y8" s="28"/>
      <c r="Z8" s="103"/>
    </row>
    <row r="9" spans="1:26" ht="17.25" customHeight="1" x14ac:dyDescent="0.2">
      <c r="A9" s="3"/>
      <c r="B9" s="41"/>
      <c r="C9" s="30"/>
      <c r="D9" s="26" t="s">
        <v>9</v>
      </c>
      <c r="E9" s="44">
        <f>$O$9-$O$10-$E$10+$F$39</f>
        <v>36.180000000000021</v>
      </c>
      <c r="F9" s="21" t="s">
        <v>11</v>
      </c>
      <c r="G9" s="21"/>
      <c r="H9" s="42" t="s">
        <v>19</v>
      </c>
      <c r="I9" s="43">
        <v>17.5</v>
      </c>
      <c r="J9" s="27" t="s">
        <v>6</v>
      </c>
      <c r="K9" s="28"/>
      <c r="L9" s="199" t="s">
        <v>64</v>
      </c>
      <c r="M9" s="199"/>
      <c r="N9" s="199"/>
      <c r="O9" s="196">
        <v>353.35</v>
      </c>
      <c r="P9" s="196"/>
      <c r="Q9" t="s">
        <v>11</v>
      </c>
      <c r="R9" s="11"/>
      <c r="T9" s="22"/>
      <c r="U9" s="114"/>
      <c r="V9" s="29"/>
      <c r="W9" s="29"/>
      <c r="X9" s="29"/>
      <c r="Y9" s="28"/>
      <c r="Z9" s="103"/>
    </row>
    <row r="10" spans="1:26" ht="17.25" customHeight="1" x14ac:dyDescent="0.2">
      <c r="A10" s="3"/>
      <c r="B10" s="41"/>
      <c r="C10" s="30"/>
      <c r="D10" s="26" t="s">
        <v>10</v>
      </c>
      <c r="E10" s="44">
        <v>5</v>
      </c>
      <c r="F10" s="21" t="s">
        <v>11</v>
      </c>
      <c r="G10" s="21"/>
      <c r="H10" s="26" t="s">
        <v>17</v>
      </c>
      <c r="I10" s="43">
        <v>0.4</v>
      </c>
      <c r="J10" s="27" t="s">
        <v>5</v>
      </c>
      <c r="K10" s="28"/>
      <c r="L10" s="125" t="s">
        <v>65</v>
      </c>
      <c r="M10" s="125"/>
      <c r="N10" s="125"/>
      <c r="O10" s="197">
        <v>316.25</v>
      </c>
      <c r="P10" s="197"/>
      <c r="Q10" t="s">
        <v>11</v>
      </c>
      <c r="R10" s="11"/>
      <c r="T10" s="22"/>
      <c r="U10" s="103"/>
      <c r="V10" s="103"/>
      <c r="W10" s="103"/>
      <c r="X10" s="103"/>
      <c r="Y10" s="103"/>
      <c r="Z10" s="103"/>
    </row>
    <row r="11" spans="1:26" ht="6" customHeight="1" x14ac:dyDescent="0.2">
      <c r="A11" s="3"/>
      <c r="B11" s="41"/>
      <c r="C11" s="30"/>
      <c r="D11" s="26"/>
      <c r="E11" s="72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3"/>
      <c r="V11" s="103"/>
      <c r="W11" s="103"/>
      <c r="X11" s="103"/>
      <c r="Y11" s="103"/>
      <c r="Z11" s="103"/>
    </row>
    <row r="12" spans="1:26" ht="17.25" customHeight="1" x14ac:dyDescent="0.2">
      <c r="A12" s="3"/>
      <c r="B12" s="41"/>
      <c r="C12" s="30"/>
      <c r="D12" s="27" t="s">
        <v>44</v>
      </c>
      <c r="E12" s="45"/>
      <c r="F12" s="21"/>
      <c r="G12" s="21"/>
      <c r="H12" s="26"/>
      <c r="I12" s="30"/>
      <c r="J12" s="71" t="s">
        <v>47</v>
      </c>
      <c r="K12" s="71"/>
      <c r="L12" s="30"/>
      <c r="M12" s="30"/>
      <c r="N12" s="103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25">
      <c r="A13" s="3"/>
      <c r="B13" s="41"/>
      <c r="C13" s="30"/>
      <c r="D13" s="30"/>
      <c r="E13" s="21"/>
      <c r="F13" s="21"/>
      <c r="G13" s="21"/>
      <c r="H13" s="30"/>
      <c r="I13" s="30"/>
      <c r="J13" s="30"/>
      <c r="K13" s="103"/>
      <c r="L13" s="30"/>
      <c r="M13" s="30"/>
      <c r="N13" s="103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5" thickBot="1" x14ac:dyDescent="0.25">
      <c r="A14" s="3"/>
      <c r="B14" s="46" t="s">
        <v>2</v>
      </c>
      <c r="C14" s="47"/>
      <c r="D14" s="47"/>
      <c r="E14" s="47"/>
      <c r="F14" s="47"/>
      <c r="G14" s="47"/>
      <c r="H14" s="47"/>
      <c r="I14" s="48"/>
      <c r="J14" s="207" t="s">
        <v>3</v>
      </c>
      <c r="K14" s="208"/>
      <c r="L14" s="209"/>
      <c r="M14" s="46" t="s">
        <v>4</v>
      </c>
      <c r="N14" s="47"/>
      <c r="O14" s="47"/>
      <c r="P14" s="47"/>
      <c r="Q14" s="48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">
      <c r="A15" s="3"/>
      <c r="B15" s="139" t="s">
        <v>48</v>
      </c>
      <c r="C15" s="140"/>
      <c r="D15" s="141"/>
      <c r="E15" s="157" t="s">
        <v>59</v>
      </c>
      <c r="F15" s="160" t="s">
        <v>49</v>
      </c>
      <c r="G15" s="163" t="s">
        <v>50</v>
      </c>
      <c r="H15" s="164"/>
      <c r="I15" s="154" t="s">
        <v>45</v>
      </c>
      <c r="J15" s="139" t="s">
        <v>58</v>
      </c>
      <c r="K15" s="141"/>
      <c r="L15" s="154" t="s">
        <v>51</v>
      </c>
      <c r="M15" s="139" t="s">
        <v>46</v>
      </c>
      <c r="N15" s="140"/>
      <c r="O15" s="141"/>
      <c r="P15" s="148" t="s">
        <v>66</v>
      </c>
      <c r="Q15" s="149"/>
      <c r="R15" s="3"/>
      <c r="T15" s="22"/>
      <c r="U15" s="25"/>
      <c r="V15" s="22"/>
      <c r="W15" s="22"/>
      <c r="X15" s="22"/>
      <c r="Y15" s="22"/>
      <c r="Z15" s="22"/>
    </row>
    <row r="16" spans="1:26" x14ac:dyDescent="0.2">
      <c r="A16" s="3"/>
      <c r="B16" s="142"/>
      <c r="C16" s="143"/>
      <c r="D16" s="144"/>
      <c r="E16" s="158"/>
      <c r="F16" s="161"/>
      <c r="G16" s="165"/>
      <c r="H16" s="166"/>
      <c r="I16" s="155"/>
      <c r="J16" s="142"/>
      <c r="K16" s="144"/>
      <c r="L16" s="155"/>
      <c r="M16" s="142"/>
      <c r="N16" s="143"/>
      <c r="O16" s="144"/>
      <c r="P16" s="150"/>
      <c r="Q16" s="151"/>
      <c r="R16" s="3"/>
      <c r="T16" s="22"/>
      <c r="U16" s="23"/>
      <c r="V16" s="22"/>
      <c r="W16" s="22"/>
      <c r="X16" s="22"/>
      <c r="Y16" s="23"/>
      <c r="Z16" s="22"/>
    </row>
    <row r="17" spans="1:37" ht="13.5" thickBot="1" x14ac:dyDescent="0.25">
      <c r="A17" s="3"/>
      <c r="B17" s="145"/>
      <c r="C17" s="146"/>
      <c r="D17" s="147"/>
      <c r="E17" s="159"/>
      <c r="F17" s="162"/>
      <c r="G17" s="167"/>
      <c r="H17" s="168"/>
      <c r="I17" s="156"/>
      <c r="J17" s="145"/>
      <c r="K17" s="147"/>
      <c r="L17" s="156"/>
      <c r="M17" s="145"/>
      <c r="N17" s="146"/>
      <c r="O17" s="147"/>
      <c r="P17" s="152"/>
      <c r="Q17" s="153"/>
      <c r="R17" s="3"/>
      <c r="T17" s="22"/>
      <c r="U17" s="23"/>
      <c r="V17" s="94" t="s">
        <v>52</v>
      </c>
      <c r="W17" s="103"/>
      <c r="X17" s="103"/>
      <c r="Y17" s="10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">
      <c r="A18" s="3"/>
      <c r="B18" s="210">
        <f>$P$4</f>
        <v>40288</v>
      </c>
      <c r="C18" s="211"/>
      <c r="D18" s="212"/>
      <c r="E18" s="57">
        <v>0.33</v>
      </c>
      <c r="F18" s="63">
        <v>1023.1</v>
      </c>
      <c r="G18" s="176">
        <f t="shared" ref="G18:G23" si="0">((1.0042-(5*10^-6)*$I18*$I18+5*10^-6*$I18)*1000/0.998206)+$I$10</f>
        <v>1003.8702255846989</v>
      </c>
      <c r="H18" s="177" t="e">
        <f>(1.0042-(5*10^-6)*#REF!*#REF!+5*10^-6*#REF!)*1000/0.998206</f>
        <v>#REF!</v>
      </c>
      <c r="I18" s="49">
        <v>23</v>
      </c>
      <c r="J18" s="222">
        <f t="shared" ref="J18:J23" si="1">(0.004*I18*I18-0.4098*I18+16.689)/1000/980.7</f>
        <v>9.5641888447027625E-6</v>
      </c>
      <c r="K18" s="223"/>
      <c r="L18" s="49">
        <f>I$9-(F18+I$10-1000)/(1035-1000)*(I$9-I$8)</f>
        <v>11.255714285714285</v>
      </c>
      <c r="M18" s="213">
        <f>E$8/(E$8-1)*M$6/$E$9*(F18-G18)/10</f>
        <v>85.168534743785955</v>
      </c>
      <c r="N18" s="214"/>
      <c r="O18" s="215"/>
      <c r="P18" s="131">
        <f t="shared" ref="P18:P34" si="2">(18*J18/(E$8-1)*L18/E18/60)^0.5*10</f>
        <v>7.6782140488923539E-2</v>
      </c>
      <c r="Q18" s="132"/>
      <c r="R18" s="3"/>
      <c r="W18" s="101"/>
      <c r="X18" s="29"/>
      <c r="Y18" s="29"/>
      <c r="Z18" s="29"/>
      <c r="AA18" s="29"/>
      <c r="AB18" s="169"/>
      <c r="AC18" s="169"/>
      <c r="AD18" s="169"/>
      <c r="AE18" s="169"/>
      <c r="AF18" s="30"/>
      <c r="AG18" s="30"/>
      <c r="AH18" s="30"/>
      <c r="AI18" s="30"/>
      <c r="AJ18" s="30"/>
      <c r="AK18" s="30"/>
    </row>
    <row r="19" spans="1:37" ht="14.25" customHeight="1" x14ac:dyDescent="0.2">
      <c r="A19" s="3"/>
      <c r="B19" s="133">
        <f>$P$4</f>
        <v>40288</v>
      </c>
      <c r="C19" s="134"/>
      <c r="D19" s="135"/>
      <c r="E19" s="57">
        <v>0.5</v>
      </c>
      <c r="F19" s="64">
        <v>1022.7</v>
      </c>
      <c r="G19" s="176">
        <f t="shared" si="0"/>
        <v>1003.8702255846989</v>
      </c>
      <c r="H19" s="177" t="e">
        <f>(1.0042-(5*10^-6)*#REF!*#REF!+5*10^-6*#REF!)*1000/0.998206</f>
        <v>#REF!</v>
      </c>
      <c r="I19" s="49">
        <v>23</v>
      </c>
      <c r="J19" s="194">
        <f t="shared" si="1"/>
        <v>9.5641888447027625E-6</v>
      </c>
      <c r="K19" s="195"/>
      <c r="L19" s="49">
        <f>I$9-(F19+I$10-1000)/(1035-1000)*(I$9-I$8)</f>
        <v>11.361999999999993</v>
      </c>
      <c r="M19" s="178">
        <f>E$8/(E$8-1)*M$6/$E$9*(F19-G19)/10</f>
        <v>83.39693757567747</v>
      </c>
      <c r="N19" s="176"/>
      <c r="O19" s="177"/>
      <c r="P19" s="131">
        <f t="shared" si="2"/>
        <v>6.2671926514337603E-2</v>
      </c>
      <c r="Q19" s="132"/>
      <c r="R19" s="3"/>
      <c r="W19" s="29"/>
      <c r="X19" s="29"/>
      <c r="Y19" s="29"/>
      <c r="Z19" s="73"/>
      <c r="AA19" s="30"/>
      <c r="AB19" s="30"/>
      <c r="AC19" s="30"/>
      <c r="AD19" s="30"/>
      <c r="AE19" s="120"/>
      <c r="AF19" s="120"/>
      <c r="AG19" s="121"/>
      <c r="AH19" s="121"/>
      <c r="AI19" s="102"/>
      <c r="AJ19" s="102"/>
      <c r="AK19" s="30"/>
    </row>
    <row r="20" spans="1:37" ht="14.25" customHeight="1" x14ac:dyDescent="0.2">
      <c r="A20" s="3"/>
      <c r="B20" s="133">
        <f>$P$4</f>
        <v>40288</v>
      </c>
      <c r="C20" s="134"/>
      <c r="D20" s="135"/>
      <c r="E20" s="57">
        <v>1</v>
      </c>
      <c r="F20" s="64">
        <v>1021.9</v>
      </c>
      <c r="G20" s="176">
        <f t="shared" si="0"/>
        <v>1003.8702255846989</v>
      </c>
      <c r="H20" s="177" t="e">
        <f>(1.0042-(5*10^-6)*#REF!*#REF!+5*10^-6*#REF!)*1000/0.998206</f>
        <v>#REF!</v>
      </c>
      <c r="I20" s="49">
        <v>23</v>
      </c>
      <c r="J20" s="194">
        <f t="shared" si="1"/>
        <v>9.5641888447027625E-6</v>
      </c>
      <c r="K20" s="195"/>
      <c r="L20" s="49">
        <f>I$9-(F20+I$10-1000)/(1035-1000)*(I$9-I$8)</f>
        <v>11.57457142857144</v>
      </c>
      <c r="M20" s="178">
        <f>E$8/(E$8-1)*M$6/$E$9*(F20-G20)/10</f>
        <v>79.853743239459988</v>
      </c>
      <c r="N20" s="176"/>
      <c r="O20" s="177"/>
      <c r="P20" s="131">
        <f t="shared" si="2"/>
        <v>4.4728374381455896E-2</v>
      </c>
      <c r="Q20" s="132"/>
      <c r="R20" s="3"/>
      <c r="W20" s="29"/>
      <c r="X20" s="29"/>
      <c r="Y20" s="29"/>
      <c r="Z20" s="74"/>
      <c r="AA20" s="30"/>
      <c r="AB20" s="30"/>
      <c r="AC20" s="30"/>
      <c r="AD20" s="30"/>
      <c r="AE20" s="122"/>
      <c r="AF20" s="122"/>
      <c r="AG20" s="121"/>
      <c r="AH20" s="121"/>
      <c r="AI20" s="102"/>
      <c r="AJ20" s="102"/>
      <c r="AK20" s="30"/>
    </row>
    <row r="21" spans="1:37" ht="14.25" customHeight="1" x14ac:dyDescent="0.2">
      <c r="A21" s="3"/>
      <c r="B21" s="133">
        <f>$P$4</f>
        <v>40288</v>
      </c>
      <c r="C21" s="134"/>
      <c r="D21" s="135"/>
      <c r="E21" s="57">
        <v>1.5</v>
      </c>
      <c r="F21" s="64">
        <v>1021.1</v>
      </c>
      <c r="G21" s="176">
        <f t="shared" si="0"/>
        <v>1003.8702255846989</v>
      </c>
      <c r="H21" s="177" t="e">
        <f>(1.0042-(5*10^-6)*#REF!*#REF!+5*10^-6*#REF!)*1000/0.998206</f>
        <v>#REF!</v>
      </c>
      <c r="I21" s="49">
        <v>23</v>
      </c>
      <c r="J21" s="194">
        <f t="shared" si="1"/>
        <v>9.5641888447027625E-6</v>
      </c>
      <c r="K21" s="195"/>
      <c r="L21" s="49">
        <f>I$9-(F21+I$10-1000)/(1035-1000)*(I$9-I$8)</f>
        <v>11.787142857142857</v>
      </c>
      <c r="M21" s="178">
        <f>E$8/(E$8-1)*M$6/$E$9*(F21-G21)/10</f>
        <v>76.310548903243017</v>
      </c>
      <c r="N21" s="176"/>
      <c r="O21" s="177"/>
      <c r="P21" s="131">
        <f t="shared" si="2"/>
        <v>3.6854396057151614E-2</v>
      </c>
      <c r="Q21" s="132"/>
      <c r="R21" s="3"/>
      <c r="W21" s="29"/>
      <c r="X21" s="29"/>
      <c r="Y21" s="29"/>
      <c r="Z21" s="75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">
      <c r="A22" s="3"/>
      <c r="B22" s="170">
        <f>$P$4</f>
        <v>40288</v>
      </c>
      <c r="C22" s="171"/>
      <c r="D22" s="172"/>
      <c r="E22" s="58">
        <v>2</v>
      </c>
      <c r="F22" s="65">
        <v>1020.5</v>
      </c>
      <c r="G22" s="186">
        <f t="shared" si="0"/>
        <v>1003.8702255846989</v>
      </c>
      <c r="H22" s="187" t="e">
        <f>(1.0042-(5*10^-6)*#REF!*#REF!+5*10^-6*#REF!)*1000/0.998206</f>
        <v>#REF!</v>
      </c>
      <c r="I22" s="50">
        <v>23</v>
      </c>
      <c r="J22" s="218">
        <f t="shared" si="1"/>
        <v>9.5641888447027625E-6</v>
      </c>
      <c r="K22" s="219"/>
      <c r="L22" s="50">
        <f>I$9-(F22+I$10-1000)/(1035-1000)*(I$9-I$8)</f>
        <v>11.946571428571435</v>
      </c>
      <c r="M22" s="188">
        <f>E$8/(E$8-1)*M$6/$E$9*(F22-G22)/10</f>
        <v>73.653153151080033</v>
      </c>
      <c r="N22" s="186"/>
      <c r="O22" s="187"/>
      <c r="P22" s="179">
        <f t="shared" si="2"/>
        <v>3.2131966009955701E-2</v>
      </c>
      <c r="Q22" s="180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">
      <c r="A23" s="3"/>
      <c r="B23" s="173">
        <f>$P$4+(E23/60/24)</f>
        <v>40288.00277777778</v>
      </c>
      <c r="C23" s="174"/>
      <c r="D23" s="175"/>
      <c r="E23" s="59">
        <v>4</v>
      </c>
      <c r="F23" s="66">
        <v>1019.2</v>
      </c>
      <c r="G23" s="181">
        <f t="shared" si="0"/>
        <v>1003.8702255846989</v>
      </c>
      <c r="H23" s="182" t="e">
        <f>(1.0042-(5*10^-6)*#REF!*#REF!+5*10^-6*#REF!)*1000/0.998206</f>
        <v>#REF!</v>
      </c>
      <c r="I23" s="51">
        <v>23</v>
      </c>
      <c r="J23" s="220">
        <f t="shared" si="1"/>
        <v>9.5641888447027625E-6</v>
      </c>
      <c r="K23" s="221"/>
      <c r="L23" s="52">
        <f t="shared" ref="L23:L34" si="3">I$9-(F23+I$10-1000)/(1035-1000)*(I$9-I$8)-$I$7/$M$7/2</f>
        <v>11.082580465762941</v>
      </c>
      <c r="M23" s="183">
        <f t="shared" ref="M23:M34" si="4">E$8/(E$8-1)*M$6/E$9*(F23-G23)/10</f>
        <v>67.895462354727343</v>
      </c>
      <c r="N23" s="181"/>
      <c r="O23" s="182"/>
      <c r="P23" s="184">
        <f t="shared" si="2"/>
        <v>2.1883717794132718E-2</v>
      </c>
      <c r="Q23" s="185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">
      <c r="A24" s="3"/>
      <c r="B24" s="133">
        <f t="shared" ref="B24:B34" si="5">$P$4+(E24/60/24)</f>
        <v>40288.005555555559</v>
      </c>
      <c r="C24" s="134"/>
      <c r="D24" s="135"/>
      <c r="E24" s="60">
        <v>8</v>
      </c>
      <c r="F24" s="67">
        <v>1018.1</v>
      </c>
      <c r="G24" s="176">
        <f t="shared" ref="G24:G34" si="6">((1.0042-(5*10^-6)*$I24*$I24+5*10^-6*$I24)*1000/0.998206)+$I$10</f>
        <v>1003.8702255846989</v>
      </c>
      <c r="H24" s="177" t="e">
        <f>(1.0042-(5*10^-6)*#REF!*#REF!+5*10^-6*#REF!)*1000/0.998206</f>
        <v>#REF!</v>
      </c>
      <c r="I24" s="49">
        <v>23</v>
      </c>
      <c r="J24" s="194">
        <f t="shared" ref="J24:J32" si="7">(0.004*I24*I24-0.4098*I24+16.689)/1000/980.7</f>
        <v>9.5641888447027625E-6</v>
      </c>
      <c r="K24" s="195"/>
      <c r="L24" s="49">
        <f t="shared" si="3"/>
        <v>11.374866180048659</v>
      </c>
      <c r="M24" s="178">
        <f t="shared" si="4"/>
        <v>63.023570142428625</v>
      </c>
      <c r="N24" s="176"/>
      <c r="O24" s="177"/>
      <c r="P24" s="131">
        <f t="shared" si="2"/>
        <v>1.5676850227258978E-2</v>
      </c>
      <c r="Q24" s="132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">
      <c r="A25" s="3"/>
      <c r="B25" s="133">
        <f t="shared" si="5"/>
        <v>40288.011111111111</v>
      </c>
      <c r="C25" s="134"/>
      <c r="D25" s="135"/>
      <c r="E25" s="59">
        <v>16</v>
      </c>
      <c r="F25" s="67">
        <v>1016.2</v>
      </c>
      <c r="G25" s="176">
        <f t="shared" si="6"/>
        <v>1003.8702255846989</v>
      </c>
      <c r="H25" s="177" t="e">
        <f>(1.0042-(5*10^-6)*#REF!*#REF!+5*10^-6*#REF!)*1000/0.998206</f>
        <v>#REF!</v>
      </c>
      <c r="I25" s="49">
        <v>23</v>
      </c>
      <c r="J25" s="194">
        <f t="shared" si="7"/>
        <v>9.5641888447027625E-6</v>
      </c>
      <c r="K25" s="195"/>
      <c r="L25" s="49">
        <f t="shared" si="3"/>
        <v>11.879723322905797</v>
      </c>
      <c r="M25" s="178">
        <f t="shared" si="4"/>
        <v>54.608483593912943</v>
      </c>
      <c r="N25" s="176"/>
      <c r="O25" s="177"/>
      <c r="P25" s="131">
        <f t="shared" si="2"/>
        <v>1.1328536972762643E-2</v>
      </c>
      <c r="Q25" s="132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">
      <c r="A26" s="3"/>
      <c r="B26" s="133">
        <f t="shared" si="5"/>
        <v>40288.022222222222</v>
      </c>
      <c r="C26" s="134"/>
      <c r="D26" s="135"/>
      <c r="E26" s="57">
        <v>32</v>
      </c>
      <c r="F26" s="67">
        <v>1014.9</v>
      </c>
      <c r="G26" s="176">
        <f t="shared" si="6"/>
        <v>1003.8702255846989</v>
      </c>
      <c r="H26" s="177" t="e">
        <f>(1.0042-(5*10^-6)*#REF!*#REF!+5*10^-6*#REF!)*1000/0.998206</f>
        <v>#REF!</v>
      </c>
      <c r="I26" s="49">
        <v>23</v>
      </c>
      <c r="J26" s="194">
        <f t="shared" si="7"/>
        <v>9.5641888447027625E-6</v>
      </c>
      <c r="K26" s="195"/>
      <c r="L26" s="49">
        <f t="shared" si="3"/>
        <v>12.225151894334388</v>
      </c>
      <c r="M26" s="178">
        <f t="shared" si="4"/>
        <v>48.850792797559741</v>
      </c>
      <c r="N26" s="176"/>
      <c r="O26" s="177"/>
      <c r="P26" s="131">
        <f t="shared" si="2"/>
        <v>8.1261118807999973E-3</v>
      </c>
      <c r="Q26" s="132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">
      <c r="A27" s="3"/>
      <c r="B27" s="133">
        <f t="shared" si="5"/>
        <v>40288.045138888891</v>
      </c>
      <c r="C27" s="134"/>
      <c r="D27" s="135"/>
      <c r="E27" s="57">
        <v>65</v>
      </c>
      <c r="F27" s="67">
        <v>1013.2</v>
      </c>
      <c r="G27" s="176">
        <f t="shared" si="6"/>
        <v>1003.8702255846989</v>
      </c>
      <c r="H27" s="177" t="e">
        <f>(1.0042-(5*10^-6)*#REF!*#REF!+5*10^-6*#REF!)*1000/0.998206</f>
        <v>#REF!</v>
      </c>
      <c r="I27" s="49">
        <v>23</v>
      </c>
      <c r="J27" s="194">
        <f t="shared" si="7"/>
        <v>9.5641888447027625E-6</v>
      </c>
      <c r="K27" s="195"/>
      <c r="L27" s="49">
        <f t="shared" si="3"/>
        <v>12.676866180048656</v>
      </c>
      <c r="M27" s="178">
        <f t="shared" si="4"/>
        <v>41.321504833098551</v>
      </c>
      <c r="N27" s="176"/>
      <c r="O27" s="177"/>
      <c r="P27" s="131">
        <f t="shared" si="2"/>
        <v>5.8060387399155944E-3</v>
      </c>
      <c r="Q27" s="132"/>
      <c r="R27" s="3"/>
      <c r="W27" s="30"/>
      <c r="X27" s="30"/>
      <c r="Y27" s="104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">
      <c r="A28" s="3"/>
      <c r="B28" s="133">
        <f t="shared" si="5"/>
        <v>40288.088888888888</v>
      </c>
      <c r="C28" s="134"/>
      <c r="D28" s="135"/>
      <c r="E28" s="57">
        <v>128</v>
      </c>
      <c r="F28" s="67">
        <v>1012</v>
      </c>
      <c r="G28" s="176">
        <f t="shared" si="6"/>
        <v>1003.8702255846989</v>
      </c>
      <c r="H28" s="177" t="e">
        <f>(1.0042-(5*10^-6)*#REF!*#REF!+5*10^-6*#REF!)*1000/0.998206</f>
        <v>#REF!</v>
      </c>
      <c r="I28" s="49">
        <v>23</v>
      </c>
      <c r="J28" s="194">
        <f t="shared" si="7"/>
        <v>9.5641888447027625E-6</v>
      </c>
      <c r="K28" s="195"/>
      <c r="L28" s="49">
        <f t="shared" si="3"/>
        <v>12.99572332290581</v>
      </c>
      <c r="M28" s="178">
        <f t="shared" si="4"/>
        <v>36.006713328772591</v>
      </c>
      <c r="N28" s="176"/>
      <c r="O28" s="177"/>
      <c r="P28" s="131">
        <f t="shared" si="2"/>
        <v>4.1891498733508913E-3</v>
      </c>
      <c r="Q28" s="132"/>
      <c r="R28" s="3"/>
      <c r="W28" s="30"/>
      <c r="X28" s="30"/>
      <c r="Y28" s="104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">
      <c r="A29" s="3"/>
      <c r="B29" s="133">
        <f t="shared" si="5"/>
        <v>40288.145833333336</v>
      </c>
      <c r="C29" s="134"/>
      <c r="D29" s="135"/>
      <c r="E29" s="57">
        <v>210</v>
      </c>
      <c r="F29" s="67">
        <v>1011</v>
      </c>
      <c r="G29" s="176">
        <f t="shared" si="6"/>
        <v>1003.8702255846989</v>
      </c>
      <c r="H29" s="177" t="e">
        <f>(1.0042-(5*10^-6)*#REF!*#REF!+5*10^-6*#REF!)*1000/0.998206</f>
        <v>#REF!</v>
      </c>
      <c r="I29" s="49">
        <v>23</v>
      </c>
      <c r="J29" s="194">
        <f t="shared" si="7"/>
        <v>9.5641888447027625E-6</v>
      </c>
      <c r="K29" s="195"/>
      <c r="L29" s="49">
        <f t="shared" si="3"/>
        <v>13.261437608620096</v>
      </c>
      <c r="M29" s="178">
        <f t="shared" si="4"/>
        <v>31.577720408501129</v>
      </c>
      <c r="N29" s="176"/>
      <c r="O29" s="177"/>
      <c r="P29" s="131">
        <f t="shared" si="2"/>
        <v>3.3038194873377591E-3</v>
      </c>
      <c r="Q29" s="132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">
      <c r="A30" s="3"/>
      <c r="B30" s="133">
        <f t="shared" si="5"/>
        <v>40288.319444444445</v>
      </c>
      <c r="C30" s="134"/>
      <c r="D30" s="135"/>
      <c r="E30" s="57">
        <v>460</v>
      </c>
      <c r="F30" s="67">
        <v>1010</v>
      </c>
      <c r="G30" s="176">
        <f t="shared" si="6"/>
        <v>1003.8702255846989</v>
      </c>
      <c r="H30" s="177" t="e">
        <f>(1.0042-(5*10^-6)*#REF!*#REF!+5*10^-6*#REF!)*1000/0.998206</f>
        <v>#REF!</v>
      </c>
      <c r="I30" s="49">
        <v>23</v>
      </c>
      <c r="J30" s="194">
        <f t="shared" si="7"/>
        <v>9.5641888447027625E-6</v>
      </c>
      <c r="K30" s="195"/>
      <c r="L30" s="49">
        <f t="shared" si="3"/>
        <v>13.527151894334381</v>
      </c>
      <c r="M30" s="178">
        <f t="shared" si="4"/>
        <v>27.14872748822966</v>
      </c>
      <c r="N30" s="176"/>
      <c r="O30" s="177"/>
      <c r="P30" s="131">
        <f t="shared" si="2"/>
        <v>2.2545243079699941E-3</v>
      </c>
      <c r="Q30" s="132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">
      <c r="A31" s="3"/>
      <c r="B31" s="133">
        <f t="shared" si="5"/>
        <v>40288.981249999997</v>
      </c>
      <c r="C31" s="134"/>
      <c r="D31" s="135"/>
      <c r="E31" s="57">
        <v>1413</v>
      </c>
      <c r="F31" s="67">
        <v>1009.6</v>
      </c>
      <c r="G31" s="176">
        <f t="shared" si="6"/>
        <v>1003.8702255846989</v>
      </c>
      <c r="H31" s="177" t="e">
        <f>(1.0042-(5*10^-6)*#REF!*#REF!+5*10^-6*#REF!)*1000/0.998206</f>
        <v>#REF!</v>
      </c>
      <c r="I31" s="49">
        <v>23</v>
      </c>
      <c r="J31" s="194">
        <f t="shared" si="7"/>
        <v>9.5641888447027625E-6</v>
      </c>
      <c r="K31" s="195"/>
      <c r="L31" s="49">
        <f t="shared" si="3"/>
        <v>13.63343760862009</v>
      </c>
      <c r="M31" s="178">
        <f t="shared" si="4"/>
        <v>25.377130320121179</v>
      </c>
      <c r="N31" s="176"/>
      <c r="O31" s="177"/>
      <c r="P31" s="131">
        <f t="shared" si="2"/>
        <v>1.2914043984278366E-3</v>
      </c>
      <c r="Q31" s="132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">
      <c r="A32" s="3"/>
      <c r="B32" s="133">
        <f t="shared" si="5"/>
        <v>40289.313194444447</v>
      </c>
      <c r="C32" s="134"/>
      <c r="D32" s="135"/>
      <c r="E32" s="57">
        <v>1891</v>
      </c>
      <c r="F32" s="67">
        <v>1009.2</v>
      </c>
      <c r="G32" s="176">
        <f t="shared" si="6"/>
        <v>1003.8702255846989</v>
      </c>
      <c r="H32" s="177" t="e">
        <f>(1.0042-(5*10^-6)*#REF!*#REF!+5*10^-6*#REF!)*1000/0.998206</f>
        <v>#REF!</v>
      </c>
      <c r="I32" s="49">
        <v>23</v>
      </c>
      <c r="J32" s="194">
        <f t="shared" si="7"/>
        <v>9.5641888447027625E-6</v>
      </c>
      <c r="K32" s="195"/>
      <c r="L32" s="49">
        <f t="shared" si="3"/>
        <v>13.739723322905798</v>
      </c>
      <c r="M32" s="178">
        <f t="shared" si="4"/>
        <v>23.605533152012693</v>
      </c>
      <c r="N32" s="176"/>
      <c r="O32" s="177"/>
      <c r="P32" s="131">
        <f t="shared" si="2"/>
        <v>1.120660033877326E-3</v>
      </c>
      <c r="Q32" s="132"/>
      <c r="R32" s="3"/>
      <c r="W32" s="30"/>
      <c r="X32" s="30"/>
      <c r="Y32" s="30"/>
      <c r="Z32" s="126"/>
      <c r="AA32" s="126"/>
      <c r="AB32" s="126"/>
      <c r="AC32" s="126"/>
      <c r="AD32" s="126"/>
      <c r="AE32" s="126"/>
      <c r="AF32" s="30"/>
      <c r="AG32" s="30"/>
      <c r="AH32" s="30"/>
      <c r="AI32" s="30"/>
      <c r="AJ32" s="30"/>
      <c r="AK32" s="30"/>
    </row>
    <row r="33" spans="1:37" ht="14.25" customHeight="1" x14ac:dyDescent="0.2">
      <c r="A33" s="3"/>
      <c r="B33" s="133">
        <f t="shared" si="5"/>
        <v>40289.974305555559</v>
      </c>
      <c r="C33" s="134"/>
      <c r="D33" s="135"/>
      <c r="E33" s="57">
        <v>2843</v>
      </c>
      <c r="F33" s="67">
        <v>1007.8</v>
      </c>
      <c r="G33" s="176">
        <f t="shared" si="6"/>
        <v>1003.8702255846989</v>
      </c>
      <c r="H33" s="177" t="e">
        <f>(1.0042-(5*10^-6)*#REF!*#REF!+5*10^-6*#REF!)*1000/0.998206</f>
        <v>#REF!</v>
      </c>
      <c r="I33" s="49">
        <v>23</v>
      </c>
      <c r="J33" s="194">
        <f>(0.004*I33*I33-0.4098*I33+16.689)/1000/980.7</f>
        <v>9.5641888447027625E-6</v>
      </c>
      <c r="K33" s="195"/>
      <c r="L33" s="49">
        <f t="shared" si="3"/>
        <v>14.111723322905821</v>
      </c>
      <c r="M33" s="178">
        <f t="shared" si="4"/>
        <v>17.404943063632238</v>
      </c>
      <c r="N33" s="176"/>
      <c r="O33" s="177"/>
      <c r="P33" s="131">
        <f t="shared" si="2"/>
        <v>9.2625859583668664E-4</v>
      </c>
      <c r="Q33" s="132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">
      <c r="A34" s="3"/>
      <c r="B34" s="133">
        <f t="shared" si="5"/>
        <v>40294.973611111112</v>
      </c>
      <c r="C34" s="134"/>
      <c r="D34" s="135"/>
      <c r="E34" s="57">
        <v>10042</v>
      </c>
      <c r="F34" s="67">
        <v>1006.9</v>
      </c>
      <c r="G34" s="176">
        <f t="shared" si="6"/>
        <v>1003.8702255846989</v>
      </c>
      <c r="H34" s="177" t="e">
        <f>(1.0042-(5*10^-6)*#REF!*#REF!+5*10^-6*#REF!)*1000/0.998206</f>
        <v>#REF!</v>
      </c>
      <c r="I34" s="49">
        <v>23</v>
      </c>
      <c r="J34" s="194">
        <f>(0.004*I34*I34-0.4098*I34+16.689)/1000/980.7</f>
        <v>9.5641888447027625E-6</v>
      </c>
      <c r="K34" s="195"/>
      <c r="L34" s="49">
        <f t="shared" si="3"/>
        <v>14.350866180048673</v>
      </c>
      <c r="M34" s="178">
        <f t="shared" si="4"/>
        <v>13.418849435388022</v>
      </c>
      <c r="N34" s="176"/>
      <c r="O34" s="177"/>
      <c r="P34" s="131">
        <f t="shared" si="2"/>
        <v>4.9700367895734432E-4</v>
      </c>
      <c r="Q34" s="132"/>
      <c r="R34" s="3"/>
    </row>
    <row r="35" spans="1:37" ht="14.25" customHeight="1" thickBot="1" x14ac:dyDescent="0.25">
      <c r="A35" s="3"/>
      <c r="B35" s="136"/>
      <c r="C35" s="137"/>
      <c r="D35" s="138"/>
      <c r="E35" s="61"/>
      <c r="F35" s="68"/>
      <c r="G35" s="189"/>
      <c r="H35" s="190"/>
      <c r="I35" s="53"/>
      <c r="J35" s="70"/>
      <c r="K35" s="109"/>
      <c r="L35" s="54"/>
      <c r="M35" s="191"/>
      <c r="N35" s="189"/>
      <c r="O35" s="190"/>
      <c r="P35" s="192"/>
      <c r="Q35" s="193"/>
      <c r="R35" s="3"/>
    </row>
    <row r="36" spans="1:37" ht="14.25" customHeight="1" x14ac:dyDescent="0.2">
      <c r="A36" s="3"/>
      <c r="B36" s="84"/>
      <c r="C36" s="85"/>
      <c r="D36" s="85"/>
      <c r="E36" s="86"/>
      <c r="F36" s="87"/>
      <c r="G36" s="87"/>
      <c r="H36" s="87"/>
      <c r="I36" s="86"/>
      <c r="J36" s="88"/>
      <c r="K36" s="88"/>
      <c r="L36" s="87"/>
      <c r="M36" s="87"/>
      <c r="N36" s="87"/>
      <c r="O36" s="87"/>
      <c r="P36" s="89"/>
      <c r="Q36" s="90"/>
      <c r="R36" s="3"/>
    </row>
    <row r="37" spans="1:37" ht="6" customHeight="1" x14ac:dyDescent="0.2">
      <c r="A37" s="3"/>
      <c r="B37" s="77"/>
      <c r="C37" s="78"/>
      <c r="D37" s="78"/>
      <c r="E37" s="62"/>
      <c r="F37" s="79"/>
      <c r="G37" s="79"/>
      <c r="H37" s="79"/>
      <c r="I37" s="62"/>
      <c r="J37" s="80"/>
      <c r="K37" s="80"/>
      <c r="L37" s="79"/>
      <c r="M37" s="79"/>
      <c r="N37" s="79"/>
      <c r="O37" s="79"/>
      <c r="P37" s="81"/>
      <c r="Q37" s="82"/>
      <c r="R37" s="3"/>
    </row>
    <row r="38" spans="1:37" ht="14.25" customHeight="1" thickBot="1" x14ac:dyDescent="0.25">
      <c r="A38" s="3"/>
      <c r="B38" s="92" t="s">
        <v>60</v>
      </c>
      <c r="C38" s="19"/>
      <c r="D38" s="19"/>
      <c r="E38" s="19"/>
      <c r="F38" s="56"/>
      <c r="G38" s="22"/>
      <c r="H38" s="76"/>
      <c r="I38" s="76"/>
      <c r="J38" s="93" t="s">
        <v>67</v>
      </c>
      <c r="K38" s="93"/>
      <c r="L38" s="2"/>
      <c r="M38" s="2"/>
      <c r="N38" s="2"/>
      <c r="O38" s="2"/>
      <c r="P38" s="2"/>
      <c r="Q38" s="9"/>
      <c r="R38" s="3"/>
    </row>
    <row r="39" spans="1:37" ht="14.25" customHeight="1" x14ac:dyDescent="0.2">
      <c r="A39" s="3"/>
      <c r="B39" s="123" t="s">
        <v>54</v>
      </c>
      <c r="C39" s="125"/>
      <c r="D39" s="125"/>
      <c r="E39" s="125"/>
      <c r="F39" s="115">
        <v>4.08</v>
      </c>
      <c r="G39" s="94" t="s">
        <v>11</v>
      </c>
      <c r="H39" s="22"/>
      <c r="I39" s="22"/>
      <c r="J39" s="127" t="s">
        <v>56</v>
      </c>
      <c r="K39" s="127"/>
      <c r="L39" s="127"/>
      <c r="M39" s="128">
        <f>M31+(0.002-P31)*((M30-M31)/(P30-P31))</f>
        <v>26.680546383523016</v>
      </c>
      <c r="N39" s="128"/>
      <c r="O39" s="128"/>
      <c r="P39" s="96" t="s">
        <v>7</v>
      </c>
      <c r="Q39" s="91"/>
      <c r="R39" s="3"/>
    </row>
    <row r="40" spans="1:37" ht="14.25" customHeight="1" x14ac:dyDescent="0.2">
      <c r="A40" s="3"/>
      <c r="B40" s="123" t="s">
        <v>53</v>
      </c>
      <c r="C40" s="125"/>
      <c r="D40" s="125"/>
      <c r="E40" s="125"/>
      <c r="F40" s="116">
        <f>$F$39/$E$9*100</f>
        <v>11.276948590381419</v>
      </c>
      <c r="G40" s="94" t="s">
        <v>7</v>
      </c>
      <c r="H40" s="22"/>
      <c r="I40" s="22"/>
      <c r="J40" s="129" t="s">
        <v>55</v>
      </c>
      <c r="K40" s="129"/>
      <c r="L40" s="129"/>
      <c r="M40" s="130">
        <v>2E-3</v>
      </c>
      <c r="N40" s="130"/>
      <c r="O40" s="130"/>
      <c r="P40" s="97" t="s">
        <v>8</v>
      </c>
      <c r="Q40" s="91"/>
      <c r="R40" s="3"/>
    </row>
    <row r="41" spans="1:37" ht="14.25" customHeight="1" x14ac:dyDescent="0.2">
      <c r="A41" s="3"/>
      <c r="B41" s="123" t="s">
        <v>61</v>
      </c>
      <c r="C41" s="125"/>
      <c r="D41" s="125"/>
      <c r="E41" s="125"/>
      <c r="F41" s="116">
        <f>100-$F$40</f>
        <v>88.723051409618577</v>
      </c>
      <c r="G41" s="83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">
      <c r="A42" s="3"/>
      <c r="B42" s="123" t="s">
        <v>57</v>
      </c>
      <c r="C42" s="124"/>
      <c r="D42" s="124"/>
      <c r="E42" s="124"/>
      <c r="F42" s="117">
        <v>6.3E-2</v>
      </c>
      <c r="G42" s="99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">
      <c r="A43" s="3"/>
      <c r="B43" s="98"/>
      <c r="C43" s="105"/>
      <c r="D43" s="105"/>
      <c r="E43" s="105"/>
      <c r="F43" s="95"/>
      <c r="G43" s="99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">
      <c r="A45" s="3"/>
      <c r="B45" s="10" t="s">
        <v>30</v>
      </c>
      <c r="C45" s="8"/>
      <c r="D45" s="4" t="s">
        <v>62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25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M6:N6"/>
    <mergeCell ref="M7:N7"/>
    <mergeCell ref="J22:K22"/>
    <mergeCell ref="J23:K23"/>
    <mergeCell ref="J24:K24"/>
    <mergeCell ref="J25:K25"/>
    <mergeCell ref="J26:K26"/>
    <mergeCell ref="J27:K27"/>
    <mergeCell ref="J28:K28"/>
    <mergeCell ref="J15:K17"/>
    <mergeCell ref="J18:K18"/>
    <mergeCell ref="J19:K19"/>
    <mergeCell ref="J20:K20"/>
    <mergeCell ref="J21:K21"/>
    <mergeCell ref="O9:P9"/>
    <mergeCell ref="O10:P10"/>
    <mergeCell ref="M19:O19"/>
    <mergeCell ref="B1:Q1"/>
    <mergeCell ref="M2:O2"/>
    <mergeCell ref="P2:Q2"/>
    <mergeCell ref="B3:C3"/>
    <mergeCell ref="M3:O3"/>
    <mergeCell ref="P3:Q3"/>
    <mergeCell ref="M4:O4"/>
    <mergeCell ref="P4:Q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P26:Q26"/>
    <mergeCell ref="G27:H27"/>
    <mergeCell ref="M27:O27"/>
    <mergeCell ref="P27:Q27"/>
    <mergeCell ref="G26:H26"/>
    <mergeCell ref="M26:O26"/>
    <mergeCell ref="G24:H24"/>
    <mergeCell ref="M24:O24"/>
    <mergeCell ref="G25:H25"/>
    <mergeCell ref="M25:O25"/>
    <mergeCell ref="P25:Q25"/>
    <mergeCell ref="M30:O30"/>
    <mergeCell ref="P28:Q28"/>
    <mergeCell ref="G29:H29"/>
    <mergeCell ref="M29:O29"/>
    <mergeCell ref="P29:Q29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G28:H28"/>
    <mergeCell ref="M28:O28"/>
    <mergeCell ref="J31:K31"/>
    <mergeCell ref="J32:K32"/>
    <mergeCell ref="J33:K33"/>
    <mergeCell ref="J34:K34"/>
    <mergeCell ref="J29:K29"/>
    <mergeCell ref="J30:K30"/>
    <mergeCell ref="M34:O34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P31:Q31"/>
    <mergeCell ref="G30:H30"/>
    <mergeCell ref="B15:D17"/>
    <mergeCell ref="P15:Q17"/>
    <mergeCell ref="M15:O17"/>
    <mergeCell ref="I15:I17"/>
    <mergeCell ref="E15:E17"/>
    <mergeCell ref="F15:F17"/>
    <mergeCell ref="G15:H17"/>
    <mergeCell ref="L15:L17"/>
    <mergeCell ref="AB18:AE18"/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</mergeCells>
  <phoneticPr fontId="8" type="noConversion"/>
  <pageMargins left="0.75" right="0.75" top="1" bottom="1" header="0.5" footer="0.5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C33"/>
    </sheetView>
  </sheetViews>
  <sheetFormatPr defaultRowHeight="12.75" x14ac:dyDescent="0.2"/>
  <sheetData>
    <row r="4" spans="1:2" x14ac:dyDescent="0.2">
      <c r="A4" t="s">
        <v>27</v>
      </c>
    </row>
    <row r="6" spans="1:2" x14ac:dyDescent="0.2">
      <c r="A6" t="s">
        <v>25</v>
      </c>
      <c r="B6" t="s">
        <v>26</v>
      </c>
    </row>
    <row r="7" spans="1:2" x14ac:dyDescent="0.2">
      <c r="A7" s="5" t="s">
        <v>28</v>
      </c>
      <c r="B7" t="s">
        <v>29</v>
      </c>
    </row>
    <row r="8" spans="1:2" x14ac:dyDescent="0.2">
      <c r="A8" s="5"/>
    </row>
    <row r="9" spans="1:2" x14ac:dyDescent="0.2">
      <c r="A9" s="6">
        <v>15</v>
      </c>
      <c r="B9" s="7">
        <v>11.45</v>
      </c>
    </row>
    <row r="10" spans="1:2" x14ac:dyDescent="0.2">
      <c r="A10" s="6">
        <v>16</v>
      </c>
      <c r="B10" s="7">
        <v>11.16</v>
      </c>
    </row>
    <row r="11" spans="1:2" x14ac:dyDescent="0.2">
      <c r="A11" s="6">
        <v>17</v>
      </c>
      <c r="B11" s="7">
        <v>10.88</v>
      </c>
    </row>
    <row r="12" spans="1:2" x14ac:dyDescent="0.2">
      <c r="A12" s="6">
        <v>18</v>
      </c>
      <c r="B12" s="7">
        <v>10.6</v>
      </c>
    </row>
    <row r="13" spans="1:2" x14ac:dyDescent="0.2">
      <c r="A13" s="6">
        <v>19</v>
      </c>
      <c r="B13" s="7">
        <v>10.34</v>
      </c>
    </row>
    <row r="14" spans="1:2" x14ac:dyDescent="0.2">
      <c r="A14" s="6">
        <v>20</v>
      </c>
      <c r="B14" s="7">
        <v>10.09</v>
      </c>
    </row>
    <row r="15" spans="1:2" x14ac:dyDescent="0.2">
      <c r="A15" s="6">
        <v>21</v>
      </c>
      <c r="B15" s="7">
        <v>9.84</v>
      </c>
    </row>
    <row r="16" spans="1:2" x14ac:dyDescent="0.2">
      <c r="A16" s="6">
        <v>22</v>
      </c>
      <c r="B16" s="7">
        <v>9.61</v>
      </c>
    </row>
    <row r="17" spans="1:2" x14ac:dyDescent="0.2">
      <c r="A17" s="6">
        <v>23</v>
      </c>
      <c r="B17" s="7">
        <v>9.3800000000000008</v>
      </c>
    </row>
    <row r="18" spans="1:2" x14ac:dyDescent="0.2">
      <c r="A18" s="6">
        <v>24</v>
      </c>
      <c r="B18" s="7">
        <v>9.16</v>
      </c>
    </row>
    <row r="19" spans="1:2" x14ac:dyDescent="0.2">
      <c r="A19" s="6">
        <v>25</v>
      </c>
      <c r="B19" s="7">
        <v>8.9499999999999993</v>
      </c>
    </row>
    <row r="20" spans="1:2" x14ac:dyDescent="0.2">
      <c r="A20" s="6">
        <v>26</v>
      </c>
      <c r="B20" s="7">
        <v>8.75</v>
      </c>
    </row>
    <row r="21" spans="1:2" x14ac:dyDescent="0.2">
      <c r="A21" s="6">
        <v>27</v>
      </c>
      <c r="B21" s="7">
        <v>8.5500000000000007</v>
      </c>
    </row>
    <row r="22" spans="1:2" x14ac:dyDescent="0.2">
      <c r="A22" s="6">
        <v>28</v>
      </c>
      <c r="B22" s="7">
        <v>8.36</v>
      </c>
    </row>
    <row r="23" spans="1:2" x14ac:dyDescent="0.2">
      <c r="A23" s="6">
        <v>29</v>
      </c>
      <c r="B23" s="7">
        <v>8.18</v>
      </c>
    </row>
    <row r="24" spans="1:2" x14ac:dyDescent="0.2">
      <c r="A24" s="6">
        <v>30</v>
      </c>
      <c r="B24" s="7">
        <v>8</v>
      </c>
    </row>
    <row r="25" spans="1:2" x14ac:dyDescent="0.2">
      <c r="A25" s="6">
        <v>31</v>
      </c>
      <c r="B25" s="7">
        <v>7.83</v>
      </c>
    </row>
    <row r="26" spans="1:2" x14ac:dyDescent="0.2">
      <c r="A26" s="6">
        <v>32</v>
      </c>
      <c r="B26" s="7">
        <v>7.67</v>
      </c>
    </row>
    <row r="33" spans="1:1" x14ac:dyDescent="0.2">
      <c r="A33" s="83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R12" sqref="R12"/>
    </sheetView>
  </sheetViews>
  <sheetFormatPr defaultRowHeight="12.75" x14ac:dyDescent="0.2"/>
  <cols>
    <col min="2" max="2" width="14" customWidth="1"/>
    <col min="13" max="13" width="9.140625" bestFit="1" customWidth="1"/>
  </cols>
  <sheetData>
    <row r="4" ht="17.25" customHeight="1" x14ac:dyDescent="0.2"/>
    <row r="5" ht="17.25" customHeight="1" x14ac:dyDescent="0.2"/>
    <row r="6" ht="17.25" customHeight="1" x14ac:dyDescent="0.2"/>
    <row r="7" ht="17.25" customHeight="1" x14ac:dyDescent="0.2"/>
    <row r="8" ht="17.25" customHeight="1" x14ac:dyDescent="0.2"/>
    <row r="9" ht="17.25" customHeight="1" x14ac:dyDescent="0.2"/>
    <row r="10" ht="17.25" customHeight="1" x14ac:dyDescent="0.2"/>
    <row r="11" ht="17.25" customHeight="1" x14ac:dyDescent="0.2"/>
    <row r="12" ht="17.25" customHeight="1" x14ac:dyDescent="0.2"/>
    <row r="13" ht="17.25" customHeight="1" x14ac:dyDescent="0.2"/>
    <row r="14" ht="17.25" customHeight="1" x14ac:dyDescent="0.2"/>
    <row r="15" ht="17.25" customHeight="1" x14ac:dyDescent="0.2"/>
    <row r="16" ht="17.25" customHeight="1" x14ac:dyDescent="0.2"/>
    <row r="17" spans="1:13" ht="17.25" customHeight="1" x14ac:dyDescent="0.2"/>
    <row r="18" spans="1:13" ht="17.25" customHeight="1" x14ac:dyDescent="0.2"/>
    <row r="19" spans="1:13" ht="17.25" customHeight="1" x14ac:dyDescent="0.2"/>
    <row r="20" spans="1:13" ht="17.25" customHeight="1" x14ac:dyDescent="0.2"/>
    <row r="21" spans="1:13" ht="17.25" customHeight="1" x14ac:dyDescent="0.2"/>
    <row r="22" spans="1:13" ht="17.25" customHeight="1" x14ac:dyDescent="0.2"/>
    <row r="30" spans="1:13" x14ac:dyDescent="0.2">
      <c r="A30" s="20" t="s">
        <v>35</v>
      </c>
      <c r="B30" t="str">
        <f>Results!P2</f>
        <v>GS054</v>
      </c>
      <c r="D30" s="20" t="s">
        <v>32</v>
      </c>
      <c r="E30" t="str">
        <f>Results!D5</f>
        <v xml:space="preserve">C0009A  </v>
      </c>
      <c r="F30" s="20" t="s">
        <v>33</v>
      </c>
      <c r="G30" t="str">
        <f>Results!D6</f>
        <v>3R-1 54-62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40288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2012-09-25T15:44:52Z</dcterms:modified>
</cp:coreProperties>
</file>