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24" i="4"/>
  <c r="P1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<sst xmlns="http://schemas.openxmlformats.org/spreadsheetml/2006/main" count="80" uniqueCount="70">
  <si>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</si>
  <si>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</si>
  <si>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</si>
  <si>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</si>
  <si>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</si>
  <si>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</si>
  <si>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</si>
  <si>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</si>
  <si>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</si>
  <si>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</si>
  <si>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</si>
  <si>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</si>
  <si>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</si>
  <si>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</si>
  <si>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</si>
  <si>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</si>
  <si>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</si>
  <si>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</si>
  <si>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</si>
  <si>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</si>
  <si>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</si>
  <si>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</si>
  <si>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</si>
  <si>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</si>
  <si>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</si>
  <si>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</si>
  <si>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</si>
  <si>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</si>
  <si>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</si>
  <si>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</si>
  <si>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</si>
  <si>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</si>
  <si>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</si>
  <si>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</si>
  <si>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</si>
  <si>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</si>
  <si>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</si>
  <si>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</si>
  <si>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</si>
  <si>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</si>
  <si>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</si>
  <si>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</si>
  <si>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</si>
  <si>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</si>
  <si>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</si>
  <si>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</si>
  <si>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</si>
  <si>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</si>
  <si>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</si>
  <si>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</si>
  <si>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</si>
  <si>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</si>
  <si>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</si>
  <si>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</si>
  <si>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</si>
  <si>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</si>
  <si>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</si>
  <si>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</si>
  <si>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</si>
  <si>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</si>
  <si>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</si>
  <si>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</si>
  <si>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</si>
  <si>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</si>
  <si>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</si>
  <si>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</si>
  <si>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 xml:space="preserve">C0009A </t>
  </si>
  <si>
    <t xml:space="preserve">Nankai </t>
  </si>
  <si>
    <t>GS060</t>
  </si>
  <si>
    <t>09R-1 67-71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</si>
</sst>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1" fillId="0" borderId="67" xfId="0" applyFont="1" applyFill="1" applyBorder="1" applyAlignment="1"/>
    <xf numFmtId="0" fontId="1" fillId="0" borderId="40" xfId="0" applyFont="1" applyFill="1" applyBorder="1" applyAlignment="1"/>
    <xf numFmtId="14" fontId="0" fillId="0" borderId="40" xfId="0" applyNumberFormat="1" applyFill="1" applyBorder="1" applyAlignment="1"/>
    <xf numFmtId="0" fontId="1" fillId="0" borderId="39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71936"/>
        <c:axId val="267872512"/>
      </c:scatterChart>
      <c:valAx>
        <c:axId val="26787193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2512"/>
        <c:crosses val="autoZero"/>
        <c:crossBetween val="midCat"/>
      </c:valAx>
      <c:valAx>
        <c:axId val="26787251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1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8.6133800580380018E-2</c:v>
                </c:pt>
                <c:pt idx="1">
                  <c:v>6.1398850334518959E-2</c:v>
                </c:pt>
                <c:pt idx="2">
                  <c:v>4.4202117027395467E-2</c:v>
                </c:pt>
                <c:pt idx="3">
                  <c:v>3.6525863849465524E-2</c:v>
                </c:pt>
                <c:pt idx="4">
                  <c:v>3.1970937439251446E-2</c:v>
                </c:pt>
                <c:pt idx="5">
                  <c:v>2.1990770945988922E-2</c:v>
                </c:pt>
                <c:pt idx="6">
                  <c:v>1.5756206440135062E-2</c:v>
                </c:pt>
                <c:pt idx="7">
                  <c:v>1.1332977514692628E-2</c:v>
                </c:pt>
                <c:pt idx="8">
                  <c:v>8.1137814347216636E-3</c:v>
                </c:pt>
                <c:pt idx="9">
                  <c:v>5.7956664306434685E-3</c:v>
                </c:pt>
                <c:pt idx="10">
                  <c:v>4.2139941361410398E-3</c:v>
                </c:pt>
                <c:pt idx="11">
                  <c:v>2.5034787652439224E-3</c:v>
                </c:pt>
                <c:pt idx="12">
                  <c:v>1.124894891681154E-3</c:v>
                </c:pt>
                <c:pt idx="13">
                  <c:v>9.089098241922127E-4</c:v>
                </c:pt>
                <c:pt idx="14">
                  <c:v>4.8255117672089254E-4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77.932205106129857</c:v>
                </c:pt>
                <c:pt idx="1">
                  <c:v>74.988157199683755</c:v>
                </c:pt>
                <c:pt idx="2">
                  <c:v>68.258904842091923</c:v>
                </c:pt>
                <c:pt idx="3">
                  <c:v>63.632543846247508</c:v>
                </c:pt>
                <c:pt idx="4">
                  <c:v>59.426761122752666</c:v>
                </c:pt>
                <c:pt idx="5">
                  <c:v>51.015195675762996</c:v>
                </c:pt>
                <c:pt idx="6">
                  <c:v>45.968256407569001</c:v>
                </c:pt>
                <c:pt idx="7">
                  <c:v>39.239004049977638</c:v>
                </c:pt>
                <c:pt idx="8">
                  <c:v>34.192064781783643</c:v>
                </c:pt>
                <c:pt idx="9">
                  <c:v>29.986282058288804</c:v>
                </c:pt>
                <c:pt idx="10">
                  <c:v>26.62165587949313</c:v>
                </c:pt>
                <c:pt idx="11">
                  <c:v>23.257029700696972</c:v>
                </c:pt>
                <c:pt idx="12">
                  <c:v>17.368933887804296</c:v>
                </c:pt>
                <c:pt idx="13">
                  <c:v>12.742572891959881</c:v>
                </c:pt>
                <c:pt idx="14">
                  <c:v>11.48083807491162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85.890889545821025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74816"/>
        <c:axId val="295147136"/>
      </c:scatterChart>
      <c:valAx>
        <c:axId val="267874816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7136"/>
        <c:crosses val="autoZero"/>
        <c:crossBetween val="midCat"/>
      </c:valAx>
      <c:valAx>
        <c:axId val="29514713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481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7.6640625" customWidth="1"/>
    <col min="5" max="5" width="7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3"/>
    </row>
    <row r="2" spans="1:26" ht="17.25" customHeight="1" x14ac:dyDescent="0.25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38" t="s">
        <v>31</v>
      </c>
      <c r="N2" s="138"/>
      <c r="O2" s="138"/>
      <c r="P2" s="123" t="s">
        <v>68</v>
      </c>
      <c r="Q2" s="120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39" t="s">
        <v>21</v>
      </c>
      <c r="C3" s="140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41" t="s">
        <v>36</v>
      </c>
      <c r="N3" s="141"/>
      <c r="O3" s="141"/>
      <c r="P3" s="124" t="s">
        <v>41</v>
      </c>
      <c r="Q3" s="12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41" t="s">
        <v>37</v>
      </c>
      <c r="N4" s="141"/>
      <c r="O4" s="141"/>
      <c r="P4" s="125">
        <v>40302</v>
      </c>
      <c r="Q4" s="122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39" t="s">
        <v>22</v>
      </c>
      <c r="C5" s="140"/>
      <c r="D5" s="118" t="s">
        <v>66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39" t="s">
        <v>23</v>
      </c>
      <c r="C6" s="140"/>
      <c r="D6" s="38" t="s">
        <v>69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56">
        <v>1000</v>
      </c>
      <c r="N6" s="156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5">
      <c r="A7" s="3"/>
      <c r="B7" s="139" t="s">
        <v>24</v>
      </c>
      <c r="C7" s="140"/>
      <c r="D7" s="38" t="s">
        <v>67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57">
        <v>28.77</v>
      </c>
      <c r="N7" s="157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3">
      <c r="A8" s="3"/>
      <c r="B8" s="41"/>
      <c r="C8" s="30"/>
      <c r="D8" s="26" t="s">
        <v>14</v>
      </c>
      <c r="E8" s="42">
        <v>2.77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5">
      <c r="A9" s="3"/>
      <c r="B9" s="41"/>
      <c r="C9" s="30"/>
      <c r="D9" s="26" t="s">
        <v>9</v>
      </c>
      <c r="E9" s="45">
        <f>$O$9-$O$10-$E$10+$F$39</f>
        <v>37.210000000000008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38" t="s">
        <v>62</v>
      </c>
      <c r="M9" s="138"/>
      <c r="N9" s="138"/>
      <c r="O9" s="135">
        <v>204.18</v>
      </c>
      <c r="P9" s="135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5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40" t="s">
        <v>63</v>
      </c>
      <c r="M10" s="140"/>
      <c r="N10" s="140"/>
      <c r="O10" s="136">
        <v>167.22</v>
      </c>
      <c r="P10" s="136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5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5">
      <c r="A12" s="3"/>
      <c r="B12" s="41"/>
      <c r="C12" s="30"/>
      <c r="D12" s="27" t="s">
        <v>42</v>
      </c>
      <c r="E12" s="46"/>
      <c r="F12" s="21"/>
      <c r="G12" s="21"/>
      <c r="H12" s="26"/>
      <c r="I12" s="30"/>
      <c r="J12" s="72" t="s">
        <v>45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44" t="s">
        <v>3</v>
      </c>
      <c r="K14" s="145"/>
      <c r="L14" s="146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58" t="s">
        <v>46</v>
      </c>
      <c r="C15" s="185"/>
      <c r="D15" s="159"/>
      <c r="E15" s="197" t="s">
        <v>57</v>
      </c>
      <c r="F15" s="200" t="s">
        <v>47</v>
      </c>
      <c r="G15" s="203" t="s">
        <v>48</v>
      </c>
      <c r="H15" s="204"/>
      <c r="I15" s="194" t="s">
        <v>43</v>
      </c>
      <c r="J15" s="158" t="s">
        <v>56</v>
      </c>
      <c r="K15" s="159"/>
      <c r="L15" s="194" t="s">
        <v>49</v>
      </c>
      <c r="M15" s="158" t="s">
        <v>44</v>
      </c>
      <c r="N15" s="185"/>
      <c r="O15" s="159"/>
      <c r="P15" s="188" t="s">
        <v>64</v>
      </c>
      <c r="Q15" s="189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60"/>
      <c r="C16" s="186"/>
      <c r="D16" s="161"/>
      <c r="E16" s="198"/>
      <c r="F16" s="201"/>
      <c r="G16" s="205"/>
      <c r="H16" s="206"/>
      <c r="I16" s="195"/>
      <c r="J16" s="160"/>
      <c r="K16" s="161"/>
      <c r="L16" s="195"/>
      <c r="M16" s="160"/>
      <c r="N16" s="186"/>
      <c r="O16" s="161"/>
      <c r="P16" s="190"/>
      <c r="Q16" s="191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2"/>
      <c r="C17" s="187"/>
      <c r="D17" s="163"/>
      <c r="E17" s="199"/>
      <c r="F17" s="202"/>
      <c r="G17" s="207"/>
      <c r="H17" s="208"/>
      <c r="I17" s="196"/>
      <c r="J17" s="162"/>
      <c r="K17" s="163"/>
      <c r="L17" s="196"/>
      <c r="M17" s="162"/>
      <c r="N17" s="187"/>
      <c r="O17" s="163"/>
      <c r="P17" s="192"/>
      <c r="Q17" s="193"/>
      <c r="R17" s="3"/>
      <c r="T17" s="22"/>
      <c r="U17" s="23"/>
      <c r="V17" s="95" t="s">
        <v>50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7">
        <f>$P$4</f>
        <v>40302</v>
      </c>
      <c r="C18" s="148"/>
      <c r="D18" s="149"/>
      <c r="E18" s="58">
        <v>0.25</v>
      </c>
      <c r="F18" s="64">
        <v>1022.4</v>
      </c>
      <c r="G18" s="129">
        <f t="shared" ref="G18:G23" si="0">((1.0042-(5*10^-6)*$I18*$I18+5*10^-6*$I18)*1000/0.998206)+$I$10</f>
        <v>1003.8702255846989</v>
      </c>
      <c r="H18" s="130" t="e">
        <f>(1.0042-(5*10^-6)*#REF!*#REF!+5*10^-6*#REF!)*1000/0.998206</f>
        <v>#REF!</v>
      </c>
      <c r="I18" s="50">
        <v>23</v>
      </c>
      <c r="J18" s="210">
        <f t="shared" ref="J18:J23" si="1">(0.004*I18*I18-0.4098*I18+16.689)/1000/980.7</f>
        <v>9.5641888447027625E-6</v>
      </c>
      <c r="K18" s="211"/>
      <c r="L18" s="50">
        <f>I$9-(F18+I$10-1000)/(1035-1000)*(I$9-I$8)</f>
        <v>11.441714285714298</v>
      </c>
      <c r="M18" s="153">
        <f>E$8/(E$8-1)*M$6/$E$9*(F18-G18)/10</f>
        <v>77.932205106129857</v>
      </c>
      <c r="N18" s="154"/>
      <c r="O18" s="155"/>
      <c r="P18" s="142">
        <f t="shared" ref="P18:P32" si="2">(18*J18/(E$8-1)*L18/E18/60)^0.5*10</f>
        <v>8.6133800580380018E-2</v>
      </c>
      <c r="Q18" s="143"/>
      <c r="R18" s="3"/>
      <c r="W18" s="102"/>
      <c r="X18" s="29"/>
      <c r="Y18" s="29"/>
      <c r="Z18" s="29"/>
      <c r="AA18" s="29"/>
      <c r="AB18" s="209"/>
      <c r="AC18" s="209"/>
      <c r="AD18" s="209"/>
      <c r="AE18" s="209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50">
        <f>$P$4</f>
        <v>40302</v>
      </c>
      <c r="C19" s="151"/>
      <c r="D19" s="152"/>
      <c r="E19" s="58">
        <v>0.5</v>
      </c>
      <c r="F19" s="65">
        <v>1021.7</v>
      </c>
      <c r="G19" s="129">
        <f t="shared" si="0"/>
        <v>1003.8702255846989</v>
      </c>
      <c r="H19" s="130" t="e">
        <f>(1.0042-(5*10^-6)*#REF!*#REF!+5*10^-6*#REF!)*1000/0.998206</f>
        <v>#REF!</v>
      </c>
      <c r="I19" s="50">
        <v>23</v>
      </c>
      <c r="J19" s="126">
        <f t="shared" si="1"/>
        <v>9.5641888447027625E-6</v>
      </c>
      <c r="K19" s="127"/>
      <c r="L19" s="50">
        <f>I$9-(F19+I$10-1000)/(1035-1000)*(I$9-I$8)</f>
        <v>11.62771428571428</v>
      </c>
      <c r="M19" s="128">
        <f>E$8/(E$8-1)*M$6/$E$9*(F19-G19)/10</f>
        <v>74.988157199683755</v>
      </c>
      <c r="N19" s="129"/>
      <c r="O19" s="130"/>
      <c r="P19" s="142">
        <f t="shared" si="2"/>
        <v>6.1398850334518959E-2</v>
      </c>
      <c r="Q19" s="143"/>
      <c r="R19" s="3"/>
      <c r="W19" s="29"/>
      <c r="X19" s="29"/>
      <c r="Y19" s="29"/>
      <c r="Z19" s="74"/>
      <c r="AA19" s="30"/>
      <c r="AB19" s="30"/>
      <c r="AC19" s="30"/>
      <c r="AD19" s="30"/>
      <c r="AE19" s="212"/>
      <c r="AF19" s="212"/>
      <c r="AG19" s="213"/>
      <c r="AH19" s="213"/>
      <c r="AI19" s="103"/>
      <c r="AJ19" s="103"/>
      <c r="AK19" s="30"/>
    </row>
    <row r="20" spans="1:37" ht="14.25" customHeight="1" x14ac:dyDescent="0.25">
      <c r="A20" s="3"/>
      <c r="B20" s="150">
        <f>$P$4</f>
        <v>40302</v>
      </c>
      <c r="C20" s="151"/>
      <c r="D20" s="152"/>
      <c r="E20" s="58">
        <v>1</v>
      </c>
      <c r="F20" s="65">
        <v>1020.1</v>
      </c>
      <c r="G20" s="129">
        <f t="shared" si="0"/>
        <v>1003.8702255846989</v>
      </c>
      <c r="H20" s="130" t="e">
        <f>(1.0042-(5*10^-6)*#REF!*#REF!+5*10^-6*#REF!)*1000/0.998206</f>
        <v>#REF!</v>
      </c>
      <c r="I20" s="50">
        <v>23</v>
      </c>
      <c r="J20" s="126">
        <f t="shared" si="1"/>
        <v>9.5641888447027625E-6</v>
      </c>
      <c r="K20" s="127"/>
      <c r="L20" s="50">
        <f>I$9-(F20+I$10-1000)/(1035-1000)*(I$9-I$8)</f>
        <v>12.052857142857142</v>
      </c>
      <c r="M20" s="128">
        <f>E$8/(E$8-1)*M$6/$E$9*(F20-G20)/10</f>
        <v>68.258904842091923</v>
      </c>
      <c r="N20" s="129"/>
      <c r="O20" s="130"/>
      <c r="P20" s="142">
        <f t="shared" si="2"/>
        <v>4.4202117027395467E-2</v>
      </c>
      <c r="Q20" s="143"/>
      <c r="R20" s="3"/>
      <c r="W20" s="29"/>
      <c r="X20" s="29"/>
      <c r="Y20" s="29"/>
      <c r="Z20" s="75"/>
      <c r="AA20" s="30"/>
      <c r="AB20" s="30"/>
      <c r="AC20" s="30"/>
      <c r="AD20" s="30"/>
      <c r="AE20" s="214"/>
      <c r="AF20" s="214"/>
      <c r="AG20" s="213"/>
      <c r="AH20" s="213"/>
      <c r="AI20" s="103"/>
      <c r="AJ20" s="103"/>
      <c r="AK20" s="30"/>
    </row>
    <row r="21" spans="1:37" ht="14.25" customHeight="1" x14ac:dyDescent="0.25">
      <c r="A21" s="3"/>
      <c r="B21" s="150">
        <f>$P$4</f>
        <v>40302</v>
      </c>
      <c r="C21" s="151"/>
      <c r="D21" s="152"/>
      <c r="E21" s="58">
        <v>1.5</v>
      </c>
      <c r="F21" s="65">
        <v>1019</v>
      </c>
      <c r="G21" s="129">
        <f t="shared" si="0"/>
        <v>1003.8702255846989</v>
      </c>
      <c r="H21" s="130" t="e">
        <f>(1.0042-(5*10^-6)*#REF!*#REF!+5*10^-6*#REF!)*1000/0.998206</f>
        <v>#REF!</v>
      </c>
      <c r="I21" s="50">
        <v>23</v>
      </c>
      <c r="J21" s="126">
        <f t="shared" si="1"/>
        <v>9.5641888447027625E-6</v>
      </c>
      <c r="K21" s="127"/>
      <c r="L21" s="50">
        <f>I$9-(F21+I$10-1000)/(1035-1000)*(I$9-I$8)</f>
        <v>12.345142857142864</v>
      </c>
      <c r="M21" s="128">
        <f>E$8/(E$8-1)*M$6/$E$9*(F21-G21)/10</f>
        <v>63.632543846247508</v>
      </c>
      <c r="N21" s="129"/>
      <c r="O21" s="130"/>
      <c r="P21" s="142">
        <f t="shared" si="2"/>
        <v>3.6525863849465524E-2</v>
      </c>
      <c r="Q21" s="143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9">
        <f>$P$4</f>
        <v>40302</v>
      </c>
      <c r="C22" s="170"/>
      <c r="D22" s="171"/>
      <c r="E22" s="59">
        <v>2</v>
      </c>
      <c r="F22" s="66">
        <v>1018</v>
      </c>
      <c r="G22" s="182">
        <f t="shared" si="0"/>
        <v>1003.8702255846989</v>
      </c>
      <c r="H22" s="183" t="e">
        <f>(1.0042-(5*10^-6)*#REF!*#REF!+5*10^-6*#REF!)*1000/0.998206</f>
        <v>#REF!</v>
      </c>
      <c r="I22" s="51">
        <v>23</v>
      </c>
      <c r="J22" s="131">
        <f t="shared" si="1"/>
        <v>9.5641888447027625E-6</v>
      </c>
      <c r="K22" s="132"/>
      <c r="L22" s="51">
        <f>I$9-(F22+I$10-1000)/(1035-1000)*(I$9-I$8)</f>
        <v>12.610857142857149</v>
      </c>
      <c r="M22" s="184">
        <f>E$8/(E$8-1)*M$6/$E$9*(F22-G22)/10</f>
        <v>59.426761122752666</v>
      </c>
      <c r="N22" s="182"/>
      <c r="O22" s="183"/>
      <c r="P22" s="175">
        <f t="shared" si="2"/>
        <v>3.1970937439251446E-2</v>
      </c>
      <c r="Q22" s="176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2">
        <f>$P$4+(E23/60/24)</f>
        <v>40302.00277777778</v>
      </c>
      <c r="C23" s="173"/>
      <c r="D23" s="174"/>
      <c r="E23" s="60">
        <v>4</v>
      </c>
      <c r="F23" s="67">
        <v>1016</v>
      </c>
      <c r="G23" s="177">
        <f t="shared" si="0"/>
        <v>1003.8702255846989</v>
      </c>
      <c r="H23" s="178" t="e">
        <f>(1.0042-(5*10^-6)*#REF!*#REF!+5*10^-6*#REF!)*1000/0.998206</f>
        <v>#REF!</v>
      </c>
      <c r="I23" s="52">
        <v>23</v>
      </c>
      <c r="J23" s="133">
        <f t="shared" si="1"/>
        <v>9.5641888447027625E-6</v>
      </c>
      <c r="K23" s="134"/>
      <c r="L23" s="53">
        <f t="shared" ref="L23:L32" si="3">I$9-(F23+I$10-1000)/(1035-1000)*(I$9-I$8)-$I$7/$M$7/2</f>
        <v>11.932866180048666</v>
      </c>
      <c r="M23" s="179">
        <f t="shared" ref="M23:M32" si="4">E$8/(E$8-1)*M$6/E$9*(F23-G23)/10</f>
        <v>51.015195675762996</v>
      </c>
      <c r="N23" s="177"/>
      <c r="O23" s="178"/>
      <c r="P23" s="180">
        <f t="shared" si="2"/>
        <v>2.1990770945988922E-2</v>
      </c>
      <c r="Q23" s="181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50">
        <f t="shared" ref="B24:B32" si="5">$P$4+(E24/60/24)</f>
        <v>40302.005555555559</v>
      </c>
      <c r="C24" s="151"/>
      <c r="D24" s="152"/>
      <c r="E24" s="61">
        <v>8</v>
      </c>
      <c r="F24" s="68">
        <v>1014.8</v>
      </c>
      <c r="G24" s="129">
        <f t="shared" ref="G24:G32" si="6">((1.0042-(5*10^-6)*$I24*$I24+5*10^-6*$I24)*1000/0.998206)+$I$10</f>
        <v>1003.8702255846989</v>
      </c>
      <c r="H24" s="130" t="e">
        <f>(1.0042-(5*10^-6)*#REF!*#REF!+5*10^-6*#REF!)*1000/0.998206</f>
        <v>#REF!</v>
      </c>
      <c r="I24" s="50">
        <v>23</v>
      </c>
      <c r="J24" s="126">
        <f t="shared" ref="J24:J32" si="7">(0.004*I24*I24-0.4098*I24+16.689)/1000/980.7</f>
        <v>9.5641888447027625E-6</v>
      </c>
      <c r="K24" s="127"/>
      <c r="L24" s="50">
        <f t="shared" si="3"/>
        <v>12.251723322905821</v>
      </c>
      <c r="M24" s="128">
        <f t="shared" si="4"/>
        <v>45.968256407569001</v>
      </c>
      <c r="N24" s="129"/>
      <c r="O24" s="130"/>
      <c r="P24" s="142">
        <f t="shared" si="2"/>
        <v>1.5756206440135062E-2</v>
      </c>
      <c r="Q24" s="143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50">
        <f t="shared" si="5"/>
        <v>40302.011111111111</v>
      </c>
      <c r="C25" s="151"/>
      <c r="D25" s="152"/>
      <c r="E25" s="60">
        <v>16</v>
      </c>
      <c r="F25" s="68">
        <v>1013.2</v>
      </c>
      <c r="G25" s="129">
        <f t="shared" si="6"/>
        <v>1003.8702255846989</v>
      </c>
      <c r="H25" s="130" t="e">
        <f>(1.0042-(5*10^-6)*#REF!*#REF!+5*10^-6*#REF!)*1000/0.998206</f>
        <v>#REF!</v>
      </c>
      <c r="I25" s="50">
        <v>23</v>
      </c>
      <c r="J25" s="126">
        <f t="shared" si="7"/>
        <v>9.5641888447027625E-6</v>
      </c>
      <c r="K25" s="127"/>
      <c r="L25" s="50">
        <f t="shared" si="3"/>
        <v>12.676866180048656</v>
      </c>
      <c r="M25" s="128">
        <f t="shared" si="4"/>
        <v>39.239004049977638</v>
      </c>
      <c r="N25" s="129"/>
      <c r="O25" s="130"/>
      <c r="P25" s="142">
        <f t="shared" si="2"/>
        <v>1.1332977514692628E-2</v>
      </c>
      <c r="Q25" s="143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50">
        <f t="shared" si="5"/>
        <v>40302.022222222222</v>
      </c>
      <c r="C26" s="151"/>
      <c r="D26" s="152"/>
      <c r="E26" s="58">
        <v>32</v>
      </c>
      <c r="F26" s="68">
        <v>1012</v>
      </c>
      <c r="G26" s="129">
        <f t="shared" si="6"/>
        <v>1003.8702255846989</v>
      </c>
      <c r="H26" s="130" t="e">
        <f>(1.0042-(5*10^-6)*#REF!*#REF!+5*10^-6*#REF!)*1000/0.998206</f>
        <v>#REF!</v>
      </c>
      <c r="I26" s="50">
        <v>23</v>
      </c>
      <c r="J26" s="126">
        <f t="shared" si="7"/>
        <v>9.5641888447027625E-6</v>
      </c>
      <c r="K26" s="127"/>
      <c r="L26" s="50">
        <f t="shared" si="3"/>
        <v>12.99572332290581</v>
      </c>
      <c r="M26" s="128">
        <f t="shared" si="4"/>
        <v>34.192064781783643</v>
      </c>
      <c r="N26" s="129"/>
      <c r="O26" s="130"/>
      <c r="P26" s="142">
        <f t="shared" si="2"/>
        <v>8.1137814347216636E-3</v>
      </c>
      <c r="Q26" s="143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50">
        <f t="shared" si="5"/>
        <v>40302.044444444444</v>
      </c>
      <c r="C27" s="151"/>
      <c r="D27" s="152"/>
      <c r="E27" s="58">
        <v>64</v>
      </c>
      <c r="F27" s="68">
        <v>1011</v>
      </c>
      <c r="G27" s="129">
        <f t="shared" si="6"/>
        <v>1003.8702255846989</v>
      </c>
      <c r="H27" s="130" t="e">
        <f>(1.0042-(5*10^-6)*#REF!*#REF!+5*10^-6*#REF!)*1000/0.998206</f>
        <v>#REF!</v>
      </c>
      <c r="I27" s="50">
        <v>23</v>
      </c>
      <c r="J27" s="126">
        <f t="shared" si="7"/>
        <v>9.5641888447027625E-6</v>
      </c>
      <c r="K27" s="127"/>
      <c r="L27" s="50">
        <f t="shared" si="3"/>
        <v>13.261437608620096</v>
      </c>
      <c r="M27" s="128">
        <f t="shared" si="4"/>
        <v>29.986282058288804</v>
      </c>
      <c r="N27" s="129"/>
      <c r="O27" s="130"/>
      <c r="P27" s="142">
        <f t="shared" si="2"/>
        <v>5.7956664306434685E-3</v>
      </c>
      <c r="Q27" s="143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50">
        <f t="shared" si="5"/>
        <v>40302.085416666669</v>
      </c>
      <c r="C28" s="151"/>
      <c r="D28" s="152"/>
      <c r="E28" s="58">
        <v>123</v>
      </c>
      <c r="F28" s="68">
        <v>1010.2</v>
      </c>
      <c r="G28" s="129">
        <f t="shared" si="6"/>
        <v>1003.8702255846989</v>
      </c>
      <c r="H28" s="130" t="e">
        <f>(1.0042-(5*10^-6)*#REF!*#REF!+5*10^-6*#REF!)*1000/0.998206</f>
        <v>#REF!</v>
      </c>
      <c r="I28" s="50">
        <v>23</v>
      </c>
      <c r="J28" s="126">
        <f t="shared" si="7"/>
        <v>9.5641888447027625E-6</v>
      </c>
      <c r="K28" s="127"/>
      <c r="L28" s="50">
        <f t="shared" si="3"/>
        <v>13.474009037191513</v>
      </c>
      <c r="M28" s="128">
        <f t="shared" si="4"/>
        <v>26.62165587949313</v>
      </c>
      <c r="N28" s="129"/>
      <c r="O28" s="130"/>
      <c r="P28" s="142">
        <f t="shared" si="2"/>
        <v>4.2139941361410398E-3</v>
      </c>
      <c r="Q28" s="143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50">
        <f t="shared" si="5"/>
        <v>40302.245833333334</v>
      </c>
      <c r="C29" s="151"/>
      <c r="D29" s="152"/>
      <c r="E29" s="58">
        <v>354</v>
      </c>
      <c r="F29" s="68">
        <v>1009.4</v>
      </c>
      <c r="G29" s="129">
        <f t="shared" si="6"/>
        <v>1003.8702255846989</v>
      </c>
      <c r="H29" s="130" t="e">
        <f>(1.0042-(5*10^-6)*#REF!*#REF!+5*10^-6*#REF!)*1000/0.998206</f>
        <v>#REF!</v>
      </c>
      <c r="I29" s="50">
        <v>23</v>
      </c>
      <c r="J29" s="126">
        <f t="shared" si="7"/>
        <v>9.5641888447027625E-6</v>
      </c>
      <c r="K29" s="127"/>
      <c r="L29" s="50">
        <f t="shared" si="3"/>
        <v>13.686580465762958</v>
      </c>
      <c r="M29" s="128">
        <f t="shared" si="4"/>
        <v>23.257029700696972</v>
      </c>
      <c r="N29" s="129"/>
      <c r="O29" s="130"/>
      <c r="P29" s="142">
        <f t="shared" si="2"/>
        <v>2.5034787652439224E-3</v>
      </c>
      <c r="Q29" s="143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50">
        <f t="shared" si="5"/>
        <v>40303.250694444447</v>
      </c>
      <c r="C30" s="151"/>
      <c r="D30" s="152"/>
      <c r="E30" s="58">
        <v>1801</v>
      </c>
      <c r="F30" s="68">
        <v>1008</v>
      </c>
      <c r="G30" s="129">
        <f t="shared" si="6"/>
        <v>1003.8702255846989</v>
      </c>
      <c r="H30" s="130" t="e">
        <f>(1.0042-(5*10^-6)*#REF!*#REF!+5*10^-6*#REF!)*1000/0.998206</f>
        <v>#REF!</v>
      </c>
      <c r="I30" s="50">
        <v>23</v>
      </c>
      <c r="J30" s="126">
        <f t="shared" si="7"/>
        <v>9.5641888447027625E-6</v>
      </c>
      <c r="K30" s="127"/>
      <c r="L30" s="50">
        <f t="shared" si="3"/>
        <v>14.058580465762953</v>
      </c>
      <c r="M30" s="128">
        <f t="shared" si="4"/>
        <v>17.368933887804296</v>
      </c>
      <c r="N30" s="129"/>
      <c r="O30" s="130"/>
      <c r="P30" s="142">
        <f t="shared" si="2"/>
        <v>1.124894891681154E-3</v>
      </c>
      <c r="Q30" s="143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50">
        <f t="shared" si="5"/>
        <v>40303.955555555556</v>
      </c>
      <c r="C31" s="151"/>
      <c r="D31" s="152"/>
      <c r="E31" s="58">
        <v>2816</v>
      </c>
      <c r="F31" s="68">
        <v>1006.9</v>
      </c>
      <c r="G31" s="129">
        <f t="shared" si="6"/>
        <v>1003.8702255846989</v>
      </c>
      <c r="H31" s="130" t="e">
        <f>(1.0042-(5*10^-6)*#REF!*#REF!+5*10^-6*#REF!)*1000/0.998206</f>
        <v>#REF!</v>
      </c>
      <c r="I31" s="50">
        <v>23</v>
      </c>
      <c r="J31" s="126">
        <f t="shared" si="7"/>
        <v>9.5641888447027625E-6</v>
      </c>
      <c r="K31" s="127"/>
      <c r="L31" s="50">
        <f t="shared" si="3"/>
        <v>14.350866180048673</v>
      </c>
      <c r="M31" s="128">
        <f t="shared" si="4"/>
        <v>12.742572891959881</v>
      </c>
      <c r="N31" s="129"/>
      <c r="O31" s="130"/>
      <c r="P31" s="142">
        <f t="shared" si="2"/>
        <v>9.089098241922127E-4</v>
      </c>
      <c r="Q31" s="143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50">
        <f t="shared" si="5"/>
        <v>40308.976388888892</v>
      </c>
      <c r="C32" s="151"/>
      <c r="D32" s="152"/>
      <c r="E32" s="58">
        <v>10046</v>
      </c>
      <c r="F32" s="68">
        <v>1006.6</v>
      </c>
      <c r="G32" s="129">
        <f t="shared" si="6"/>
        <v>1003.8702255846989</v>
      </c>
      <c r="H32" s="130" t="e">
        <f>(1.0042-(5*10^-6)*#REF!*#REF!+5*10^-6*#REF!)*1000/0.998206</f>
        <v>#REF!</v>
      </c>
      <c r="I32" s="50">
        <v>23</v>
      </c>
      <c r="J32" s="126">
        <f t="shared" si="7"/>
        <v>9.5641888447027625E-6</v>
      </c>
      <c r="K32" s="127"/>
      <c r="L32" s="50">
        <f t="shared" si="3"/>
        <v>14.430580465762947</v>
      </c>
      <c r="M32" s="128">
        <f t="shared" si="4"/>
        <v>11.48083807491162</v>
      </c>
      <c r="N32" s="129"/>
      <c r="O32" s="130"/>
      <c r="P32" s="142">
        <f t="shared" si="2"/>
        <v>4.8255117672089254E-4</v>
      </c>
      <c r="Q32" s="143"/>
      <c r="R32" s="3"/>
      <c r="W32" s="30"/>
      <c r="X32" s="30"/>
      <c r="Y32" s="30"/>
      <c r="Z32" s="216"/>
      <c r="AA32" s="216"/>
      <c r="AB32" s="216"/>
      <c r="AC32" s="216"/>
      <c r="AD32" s="216"/>
      <c r="AE32" s="216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50"/>
      <c r="C33" s="151"/>
      <c r="D33" s="152"/>
      <c r="E33" s="58"/>
      <c r="F33" s="68"/>
      <c r="G33" s="129"/>
      <c r="H33" s="130"/>
      <c r="I33" s="50"/>
      <c r="J33" s="126"/>
      <c r="K33" s="127"/>
      <c r="L33" s="50"/>
      <c r="M33" s="128"/>
      <c r="N33" s="129"/>
      <c r="O33" s="130"/>
      <c r="P33" s="142"/>
      <c r="Q33" s="143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50"/>
      <c r="C34" s="151"/>
      <c r="D34" s="152"/>
      <c r="E34" s="58"/>
      <c r="F34" s="68"/>
      <c r="G34" s="129"/>
      <c r="H34" s="130"/>
      <c r="I34" s="50"/>
      <c r="J34" s="126"/>
      <c r="K34" s="127"/>
      <c r="L34" s="50"/>
      <c r="M34" s="128"/>
      <c r="N34" s="129"/>
      <c r="O34" s="130"/>
      <c r="P34" s="142"/>
      <c r="Q34" s="143"/>
      <c r="R34" s="3"/>
    </row>
    <row r="35" spans="1:37" ht="14.25" customHeight="1" thickBot="1" x14ac:dyDescent="0.3">
      <c r="A35" s="3"/>
      <c r="B35" s="221"/>
      <c r="C35" s="222"/>
      <c r="D35" s="223"/>
      <c r="E35" s="62"/>
      <c r="F35" s="69"/>
      <c r="G35" s="164"/>
      <c r="H35" s="165"/>
      <c r="I35" s="54"/>
      <c r="J35" s="71"/>
      <c r="K35" s="109"/>
      <c r="L35" s="55"/>
      <c r="M35" s="166"/>
      <c r="N35" s="164"/>
      <c r="O35" s="165"/>
      <c r="P35" s="167"/>
      <c r="Q35" s="168"/>
      <c r="R35" s="3"/>
    </row>
    <row r="36" spans="1:37" ht="14.25" customHeight="1" x14ac:dyDescent="0.25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5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3">
      <c r="A38" s="3"/>
      <c r="B38" s="93" t="s">
        <v>58</v>
      </c>
      <c r="C38" s="19"/>
      <c r="D38" s="19"/>
      <c r="E38" s="19"/>
      <c r="F38" s="57"/>
      <c r="G38" s="22"/>
      <c r="H38" s="77"/>
      <c r="I38" s="77"/>
      <c r="J38" s="94" t="s">
        <v>65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5" t="s">
        <v>52</v>
      </c>
      <c r="C39" s="140"/>
      <c r="D39" s="140"/>
      <c r="E39" s="140"/>
      <c r="F39" s="115">
        <v>5.25</v>
      </c>
      <c r="G39" s="95" t="s">
        <v>11</v>
      </c>
      <c r="H39" s="22"/>
      <c r="I39" s="22"/>
      <c r="J39" s="217" t="s">
        <v>54</v>
      </c>
      <c r="K39" s="217"/>
      <c r="L39" s="217"/>
      <c r="M39" s="218">
        <f>M30+(0.002-P30)*((M29-M30)/(P29-P30))</f>
        <v>21.106611966698914</v>
      </c>
      <c r="N39" s="218"/>
      <c r="O39" s="218"/>
      <c r="P39" s="97" t="s">
        <v>7</v>
      </c>
      <c r="Q39" s="92"/>
      <c r="R39" s="3"/>
    </row>
    <row r="40" spans="1:37" ht="14.25" customHeight="1" x14ac:dyDescent="0.25">
      <c r="A40" s="3"/>
      <c r="B40" s="215" t="s">
        <v>51</v>
      </c>
      <c r="C40" s="140"/>
      <c r="D40" s="140"/>
      <c r="E40" s="140"/>
      <c r="F40" s="116">
        <f>$F$39/$E$9*100</f>
        <v>14.10911045417898</v>
      </c>
      <c r="G40" s="95" t="s">
        <v>7</v>
      </c>
      <c r="H40" s="22"/>
      <c r="I40" s="22"/>
      <c r="J40" s="219" t="s">
        <v>53</v>
      </c>
      <c r="K40" s="219"/>
      <c r="L40" s="219"/>
      <c r="M40" s="220">
        <v>2E-3</v>
      </c>
      <c r="N40" s="220"/>
      <c r="O40" s="220"/>
      <c r="P40" s="98" t="s">
        <v>8</v>
      </c>
      <c r="Q40" s="92"/>
      <c r="R40" s="3"/>
    </row>
    <row r="41" spans="1:37" ht="14.25" customHeight="1" x14ac:dyDescent="0.25">
      <c r="A41" s="3"/>
      <c r="B41" s="215" t="s">
        <v>59</v>
      </c>
      <c r="C41" s="140"/>
      <c r="D41" s="140"/>
      <c r="E41" s="140"/>
      <c r="F41" s="116">
        <f>100-$F$40</f>
        <v>85.890889545821025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5" t="s">
        <v>55</v>
      </c>
      <c r="C42" s="141"/>
      <c r="D42" s="141"/>
      <c r="E42" s="141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27"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P31:Q31"/>
    <mergeCell ref="G30:H30"/>
    <mergeCell ref="P28:Q28"/>
    <mergeCell ref="G29:H29"/>
    <mergeCell ref="M29:O29"/>
    <mergeCell ref="P29:Q29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G28:H28"/>
    <mergeCell ref="M28:O28"/>
    <mergeCell ref="J31:K31"/>
    <mergeCell ref="J32:K32"/>
    <mergeCell ref="J33:K33"/>
    <mergeCell ref="J34:K34"/>
    <mergeCell ref="P26:Q26"/>
    <mergeCell ref="G27:H27"/>
    <mergeCell ref="M27:O27"/>
    <mergeCell ref="P27:Q27"/>
    <mergeCell ref="G26:H26"/>
    <mergeCell ref="M26:O26"/>
    <mergeCell ref="G24:H24"/>
    <mergeCell ref="M24:O24"/>
    <mergeCell ref="G25:H25"/>
    <mergeCell ref="M25:O25"/>
    <mergeCell ref="P25:Q25"/>
    <mergeCell ref="O9:P9"/>
    <mergeCell ref="O10:P10"/>
    <mergeCell ref="M19:O19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0" sqref="O10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GS060</v>
      </c>
      <c r="D30" s="20" t="s">
        <v>32</v>
      </c>
      <c r="E30" t="str">
        <f>Results!D5</f>
        <v xml:space="preserve">C0009A </v>
      </c>
      <c r="F30" s="20" t="s">
        <v>33</v>
      </c>
      <c r="G30" t="str">
        <f>Results!D6</f>
        <v>09R-1 67-71 cm</v>
      </c>
      <c r="I30" s="20" t="s">
        <v>34</v>
      </c>
      <c r="J30" t="str">
        <f>Results!D7</f>
        <v xml:space="preserve">Nankai </v>
      </c>
      <c r="L30" s="1" t="str">
        <f>Results!M4</f>
        <v>Test Date:</v>
      </c>
      <c r="M30" s="1">
        <f>Results!P4</f>
        <v>40302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2012-09-25T14:52:14Z</dcterms:modified>
</cp:coreProperties>
</file>