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1" i="4" l="1"/>
  <c r="M31" i="4"/>
  <c r="L31" i="4"/>
  <c r="P31" i="4"/>
  <c r="G30" i="4"/>
  <c r="M30" i="4"/>
  <c r="L30" i="4"/>
  <c r="P30" i="4"/>
  <c r="M39" i="4"/>
  <c r="J35" i="4"/>
  <c r="L35" i="4"/>
  <c r="P35" i="4"/>
  <c r="G35" i="4"/>
  <c r="M35" i="4"/>
  <c r="H35" i="4"/>
  <c r="B35" i="4"/>
  <c r="E9" i="4"/>
  <c r="F40" i="4"/>
  <c r="F41" i="4"/>
  <c r="J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29" i="4"/>
  <c r="M29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29" i="4"/>
  <c r="L32" i="4"/>
  <c r="P21" i="4"/>
  <c r="P28" i="4"/>
  <c r="P20" i="4"/>
  <c r="P33" i="4"/>
  <c r="P24" i="4"/>
  <c r="P19" i="4"/>
  <c r="P2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<sst xmlns="http://schemas.openxmlformats.org/spreadsheetml/2006/main" count="80" uniqueCount="70">
  <si>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</si>
  <si>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</si>
  <si>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</si>
  <si>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</si>
  <si>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</si>
  <si>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</si>
  <si>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</si>
  <si>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</si>
  <si>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</si>
  <si>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</si>
  <si>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</si>
  <si>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</si>
  <si>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</si>
  <si>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</si>
  <si>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</si>
  <si>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</si>
  <si>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</si>
  <si>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</si>
  <si>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</si>
  <si>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</si>
  <si>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</si>
  <si>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</si>
  <si>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</si>
  <si>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</si>
  <si>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</si>
  <si>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</si>
  <si>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</si>
  <si>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</si>
  <si>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</si>
  <si>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</si>
  <si>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</si>
  <si>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</si>
  <si>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</si>
  <si>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</si>
  <si>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</si>
  <si>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</si>
  <si>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</si>
  <si>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</si>
  <si>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</si>
  <si>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</si>
  <si>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</si>
  <si>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</si>
  <si>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</si>
  <si>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</si>
  <si>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</si>
  <si>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</si>
  <si>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</si>
  <si>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</si>
  <si>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</si>
  <si>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</si>
  <si>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</si>
  <si>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</si>
  <si>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</si>
  <si>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</si>
  <si>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</si>
  <si>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</si>
  <si>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</si>
  <si>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</si>
  <si>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</si>
  <si>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</si>
  <si>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</si>
  <si>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</si>
  <si>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</si>
  <si>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</si>
  <si>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</si>
  <si>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</si>
  <si>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</si>
  <si>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</si>
  <si>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4R-4 11-15 cm</t>
  </si>
  <si>
    <t>GS077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</si>
</sst>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877696"/>
        <c:axId val="295141952"/>
      </c:scatterChart>
      <c:valAx>
        <c:axId val="267877696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1952"/>
        <c:crosses val="autoZero"/>
        <c:crossBetween val="midCat"/>
      </c:valAx>
      <c:valAx>
        <c:axId val="295141952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787769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7.3632468613721733E-2</c:v>
                </c:pt>
                <c:pt idx="1">
                  <c:v>6.0419606115868559E-2</c:v>
                </c:pt>
                <c:pt idx="2">
                  <c:v>4.3766306074649444E-2</c:v>
                </c:pt>
                <c:pt idx="3">
                  <c:v>3.619496629479247E-2</c:v>
                </c:pt>
                <c:pt idx="4">
                  <c:v>3.1667922991896996E-2</c:v>
                </c:pt>
                <c:pt idx="5">
                  <c:v>2.1740551996358225E-2</c:v>
                </c:pt>
                <c:pt idx="6">
                  <c:v>1.5573335523528953E-2</c:v>
                </c:pt>
                <c:pt idx="7">
                  <c:v>1.1252622258716337E-2</c:v>
                </c:pt>
                <c:pt idx="8">
                  <c:v>8.0885972642894977E-3</c:v>
                </c:pt>
                <c:pt idx="9">
                  <c:v>5.8051305225945487E-3</c:v>
                </c:pt>
                <c:pt idx="10">
                  <c:v>4.1433039920404429E-3</c:v>
                </c:pt>
                <c:pt idx="11">
                  <c:v>2.9314737114694697E-3</c:v>
                </c:pt>
                <c:pt idx="12">
                  <c:v>2.4861359383824711E-3</c:v>
                </c:pt>
                <c:pt idx="13">
                  <c:v>1.36057768872702E-3</c:v>
                </c:pt>
                <c:pt idx="14">
                  <c:v>6.3990898837969418E-4</c:v>
                </c:pt>
                <c:pt idx="15">
                  <c:v>5.8062088237734698E-4</c:v>
                </c:pt>
                <c:pt idx="16">
                  <c:v>5.2996503467167631E-4</c:v>
                </c:pt>
                <c:pt idx="17">
                  <c:v>4.9719243120076068E-4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78.546292291128211</c:v>
                </c:pt>
                <c:pt idx="1">
                  <c:v>75.680916996202441</c:v>
                </c:pt>
                <c:pt idx="2">
                  <c:v>68.517478758887577</c:v>
                </c:pt>
                <c:pt idx="3">
                  <c:v>64.577587728364335</c:v>
                </c:pt>
                <c:pt idx="4">
                  <c:v>61.354040521572735</c:v>
                </c:pt>
                <c:pt idx="5">
                  <c:v>54.190602284257878</c:v>
                </c:pt>
                <c:pt idx="6">
                  <c:v>50.250711253734629</c:v>
                </c:pt>
                <c:pt idx="7">
                  <c:v>43.445444928285596</c:v>
                </c:pt>
                <c:pt idx="8">
                  <c:v>38.072866250299462</c:v>
                </c:pt>
                <c:pt idx="9">
                  <c:v>33.058459484179146</c:v>
                </c:pt>
                <c:pt idx="10">
                  <c:v>29.834912277387541</c:v>
                </c:pt>
                <c:pt idx="11">
                  <c:v>25.536849334998472</c:v>
                </c:pt>
                <c:pt idx="12">
                  <c:v>25.178677423132648</c:v>
                </c:pt>
                <c:pt idx="13">
                  <c:v>18.373411097683618</c:v>
                </c:pt>
                <c:pt idx="14">
                  <c:v>13.000832419697478</c:v>
                </c:pt>
                <c:pt idx="15">
                  <c:v>13.000832419697478</c:v>
                </c:pt>
                <c:pt idx="16">
                  <c:v>10.493629036637117</c:v>
                </c:pt>
                <c:pt idx="17">
                  <c:v>9.7772852129058769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85.036003600360047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3680"/>
        <c:axId val="295144256"/>
      </c:scatterChart>
      <c:valAx>
        <c:axId val="295143680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4256"/>
        <c:crosses val="autoZero"/>
        <c:crossBetween val="midCat"/>
      </c:valAx>
      <c:valAx>
        <c:axId val="295144256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3680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39" t="s">
        <v>31</v>
      </c>
      <c r="N2" s="139"/>
      <c r="O2" s="139"/>
      <c r="P2" s="117" t="s">
        <v>69</v>
      </c>
      <c r="Q2" s="118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0" t="s">
        <v>21</v>
      </c>
      <c r="C3" s="141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42" t="s">
        <v>36</v>
      </c>
      <c r="N3" s="142"/>
      <c r="O3" s="142"/>
      <c r="P3" s="119" t="s">
        <v>42</v>
      </c>
      <c r="Q3" s="120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42" t="s">
        <v>37</v>
      </c>
      <c r="N4" s="142"/>
      <c r="O4" s="142"/>
      <c r="P4" s="121">
        <v>40318</v>
      </c>
      <c r="Q4" s="122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0" t="s">
        <v>22</v>
      </c>
      <c r="C5" s="141"/>
      <c r="D5" s="40" t="s">
        <v>67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0" t="s">
        <v>23</v>
      </c>
      <c r="C6" s="141"/>
      <c r="D6" s="116" t="s">
        <v>68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155">
        <v>1000</v>
      </c>
      <c r="N6" s="155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140" t="s">
        <v>24</v>
      </c>
      <c r="C7" s="141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156">
        <v>28.77</v>
      </c>
      <c r="N7" s="156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40">
        <v>2.69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44.440000000000019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139" t="s">
        <v>63</v>
      </c>
      <c r="M9" s="139"/>
      <c r="N9" s="139"/>
      <c r="O9" s="132">
        <v>194.3</v>
      </c>
      <c r="P9" s="132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41" t="s">
        <v>64</v>
      </c>
      <c r="M10" s="141"/>
      <c r="N10" s="141"/>
      <c r="O10" s="133">
        <v>151.51</v>
      </c>
      <c r="P10" s="133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43</v>
      </c>
      <c r="E12" s="44"/>
      <c r="F12" s="21"/>
      <c r="G12" s="21"/>
      <c r="H12" s="26"/>
      <c r="I12" s="30"/>
      <c r="J12" s="70" t="s">
        <v>46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143" t="s">
        <v>3</v>
      </c>
      <c r="K14" s="144"/>
      <c r="L14" s="145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57" t="s">
        <v>47</v>
      </c>
      <c r="C15" s="163"/>
      <c r="D15" s="158"/>
      <c r="E15" s="192" t="s">
        <v>58</v>
      </c>
      <c r="F15" s="195" t="s">
        <v>48</v>
      </c>
      <c r="G15" s="198" t="s">
        <v>49</v>
      </c>
      <c r="H15" s="199"/>
      <c r="I15" s="189" t="s">
        <v>44</v>
      </c>
      <c r="J15" s="157" t="s">
        <v>57</v>
      </c>
      <c r="K15" s="158"/>
      <c r="L15" s="189" t="s">
        <v>50</v>
      </c>
      <c r="M15" s="157" t="s">
        <v>45</v>
      </c>
      <c r="N15" s="163"/>
      <c r="O15" s="158"/>
      <c r="P15" s="166" t="s">
        <v>65</v>
      </c>
      <c r="Q15" s="167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59"/>
      <c r="C16" s="164"/>
      <c r="D16" s="160"/>
      <c r="E16" s="193"/>
      <c r="F16" s="196"/>
      <c r="G16" s="200"/>
      <c r="H16" s="201"/>
      <c r="I16" s="190"/>
      <c r="J16" s="159"/>
      <c r="K16" s="160"/>
      <c r="L16" s="190"/>
      <c r="M16" s="159"/>
      <c r="N16" s="164"/>
      <c r="O16" s="160"/>
      <c r="P16" s="168"/>
      <c r="Q16" s="169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1"/>
      <c r="C17" s="165"/>
      <c r="D17" s="162"/>
      <c r="E17" s="194"/>
      <c r="F17" s="197"/>
      <c r="G17" s="202"/>
      <c r="H17" s="203"/>
      <c r="I17" s="191"/>
      <c r="J17" s="161"/>
      <c r="K17" s="162"/>
      <c r="L17" s="191"/>
      <c r="M17" s="161"/>
      <c r="N17" s="165"/>
      <c r="O17" s="162"/>
      <c r="P17" s="170"/>
      <c r="Q17" s="171"/>
      <c r="R17" s="3"/>
      <c r="T17" s="22"/>
      <c r="U17" s="23"/>
      <c r="V17" s="93" t="s">
        <v>51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6">
        <f>$P$4</f>
        <v>40318</v>
      </c>
      <c r="C18" s="147"/>
      <c r="D18" s="148"/>
      <c r="E18" s="56">
        <v>0.33</v>
      </c>
      <c r="F18" s="62">
        <v>1025.8</v>
      </c>
      <c r="G18" s="126">
        <f t="shared" ref="G18:G23" si="0">((1.0042-(5*10^-6)*$I18*$I18+5*10^-6*$I18)*1000/0.998206)+$I$10</f>
        <v>1003.8702255846989</v>
      </c>
      <c r="H18" s="127" t="e">
        <f>(1.0042-(5*10^-6)*#REF!*#REF!+5*10^-6*#REF!)*1000/0.998206</f>
        <v>#REF!</v>
      </c>
      <c r="I18" s="48">
        <v>23</v>
      </c>
      <c r="J18" s="205">
        <f t="shared" ref="J18:J23" si="1">(0.004*I18*I18-0.4098*I18+16.689)/1000/980.7</f>
        <v>9.5641888447027625E-6</v>
      </c>
      <c r="K18" s="206"/>
      <c r="L18" s="48">
        <f>I$9-(F18+I$10-1000)/(1035-1000)*(I$9-I$8)</f>
        <v>10.538285714285703</v>
      </c>
      <c r="M18" s="152">
        <f>E$8/(E$8-1)*M$6/$E$9*(F18-G18)/10</f>
        <v>78.546292291128211</v>
      </c>
      <c r="N18" s="153"/>
      <c r="O18" s="154"/>
      <c r="P18" s="134">
        <f t="shared" ref="P18:P34" si="2">(18*J18/(E$8-1)*L18/E18/60)^0.5*10</f>
        <v>7.3632468613721733E-2</v>
      </c>
      <c r="Q18" s="135"/>
      <c r="R18" s="3"/>
      <c r="W18" s="100"/>
      <c r="X18" s="29"/>
      <c r="Y18" s="29"/>
      <c r="Z18" s="29"/>
      <c r="AA18" s="29"/>
      <c r="AB18" s="204"/>
      <c r="AC18" s="204"/>
      <c r="AD18" s="204"/>
      <c r="AE18" s="204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49">
        <f>$P$4</f>
        <v>40318</v>
      </c>
      <c r="C19" s="150"/>
      <c r="D19" s="151"/>
      <c r="E19" s="56">
        <v>0.5</v>
      </c>
      <c r="F19" s="63">
        <v>1025</v>
      </c>
      <c r="G19" s="126">
        <f t="shared" si="0"/>
        <v>1003.8702255846989</v>
      </c>
      <c r="H19" s="127" t="e">
        <f>(1.0042-(5*10^-6)*#REF!*#REF!+5*10^-6*#REF!)*1000/0.998206</f>
        <v>#REF!</v>
      </c>
      <c r="I19" s="48">
        <v>23</v>
      </c>
      <c r="J19" s="123">
        <f t="shared" si="1"/>
        <v>9.5641888447027625E-6</v>
      </c>
      <c r="K19" s="124"/>
      <c r="L19" s="48">
        <f>I$9-(F19+I$10-1000)/(1035-1000)*(I$9-I$8)</f>
        <v>10.750857142857118</v>
      </c>
      <c r="M19" s="125">
        <f>E$8/(E$8-1)*M$6/$E$9*(F19-G19)/10</f>
        <v>75.680916996202441</v>
      </c>
      <c r="N19" s="126"/>
      <c r="O19" s="127"/>
      <c r="P19" s="134">
        <f t="shared" si="2"/>
        <v>6.0419606115868559E-2</v>
      </c>
      <c r="Q19" s="135"/>
      <c r="R19" s="3"/>
      <c r="W19" s="29"/>
      <c r="X19" s="29"/>
      <c r="Y19" s="29"/>
      <c r="Z19" s="72"/>
      <c r="AA19" s="30"/>
      <c r="AB19" s="30"/>
      <c r="AC19" s="30"/>
      <c r="AD19" s="30"/>
      <c r="AE19" s="207"/>
      <c r="AF19" s="207"/>
      <c r="AG19" s="208"/>
      <c r="AH19" s="208"/>
      <c r="AI19" s="101"/>
      <c r="AJ19" s="101"/>
      <c r="AK19" s="30"/>
    </row>
    <row r="20" spans="1:37" ht="14.25" customHeight="1" x14ac:dyDescent="0.25">
      <c r="A20" s="3"/>
      <c r="B20" s="149">
        <f>$P$4</f>
        <v>40318</v>
      </c>
      <c r="C20" s="150"/>
      <c r="D20" s="151"/>
      <c r="E20" s="56">
        <v>1</v>
      </c>
      <c r="F20" s="63">
        <v>1023</v>
      </c>
      <c r="G20" s="126">
        <f t="shared" si="0"/>
        <v>1003.8702255846989</v>
      </c>
      <c r="H20" s="127" t="e">
        <f>(1.0042-(5*10^-6)*#REF!*#REF!+5*10^-6*#REF!)*1000/0.998206</f>
        <v>#REF!</v>
      </c>
      <c r="I20" s="48">
        <v>23</v>
      </c>
      <c r="J20" s="123">
        <f t="shared" si="1"/>
        <v>9.5641888447027625E-6</v>
      </c>
      <c r="K20" s="124"/>
      <c r="L20" s="48">
        <f>I$9-(F20+I$10-1000)/(1035-1000)*(I$9-I$8)</f>
        <v>11.28228571428572</v>
      </c>
      <c r="M20" s="125">
        <f>E$8/(E$8-1)*M$6/$E$9*(F20-G20)/10</f>
        <v>68.517478758887577</v>
      </c>
      <c r="N20" s="126"/>
      <c r="O20" s="127"/>
      <c r="P20" s="134">
        <f t="shared" si="2"/>
        <v>4.3766306074649444E-2</v>
      </c>
      <c r="Q20" s="135"/>
      <c r="R20" s="3"/>
      <c r="W20" s="29"/>
      <c r="X20" s="29"/>
      <c r="Y20" s="29"/>
      <c r="Z20" s="73"/>
      <c r="AA20" s="30"/>
      <c r="AB20" s="30"/>
      <c r="AC20" s="30"/>
      <c r="AD20" s="30"/>
      <c r="AE20" s="209"/>
      <c r="AF20" s="209"/>
      <c r="AG20" s="208"/>
      <c r="AH20" s="208"/>
      <c r="AI20" s="101"/>
      <c r="AJ20" s="101"/>
      <c r="AK20" s="30"/>
    </row>
    <row r="21" spans="1:37" ht="14.25" customHeight="1" x14ac:dyDescent="0.25">
      <c r="A21" s="3"/>
      <c r="B21" s="149">
        <f>$P$4</f>
        <v>40318</v>
      </c>
      <c r="C21" s="150"/>
      <c r="D21" s="151"/>
      <c r="E21" s="56">
        <v>1.5</v>
      </c>
      <c r="F21" s="63">
        <v>1021.9</v>
      </c>
      <c r="G21" s="126">
        <f t="shared" si="0"/>
        <v>1003.8702255846989</v>
      </c>
      <c r="H21" s="127" t="e">
        <f>(1.0042-(5*10^-6)*#REF!*#REF!+5*10^-6*#REF!)*1000/0.998206</f>
        <v>#REF!</v>
      </c>
      <c r="I21" s="48">
        <v>23</v>
      </c>
      <c r="J21" s="123">
        <f t="shared" si="1"/>
        <v>9.5641888447027625E-6</v>
      </c>
      <c r="K21" s="124"/>
      <c r="L21" s="48">
        <f>I$9-(F21+I$10-1000)/(1035-1000)*(I$9-I$8)</f>
        <v>11.57457142857144</v>
      </c>
      <c r="M21" s="125">
        <f>E$8/(E$8-1)*M$6/$E$9*(F21-G21)/10</f>
        <v>64.577587728364335</v>
      </c>
      <c r="N21" s="126"/>
      <c r="O21" s="127"/>
      <c r="P21" s="134">
        <f t="shared" si="2"/>
        <v>3.619496629479247E-2</v>
      </c>
      <c r="Q21" s="135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77">
        <f>$P$4</f>
        <v>40318</v>
      </c>
      <c r="C22" s="178"/>
      <c r="D22" s="179"/>
      <c r="E22" s="57">
        <v>2</v>
      </c>
      <c r="F22" s="64">
        <v>1021</v>
      </c>
      <c r="G22" s="186">
        <f t="shared" si="0"/>
        <v>1003.8702255846989</v>
      </c>
      <c r="H22" s="187" t="e">
        <f>(1.0042-(5*10^-6)*#REF!*#REF!+5*10^-6*#REF!)*1000/0.998206</f>
        <v>#REF!</v>
      </c>
      <c r="I22" s="49">
        <v>23</v>
      </c>
      <c r="J22" s="128">
        <f t="shared" si="1"/>
        <v>9.5641888447027625E-6</v>
      </c>
      <c r="K22" s="129"/>
      <c r="L22" s="49">
        <f>I$9-(F22+I$10-1000)/(1035-1000)*(I$9-I$8)</f>
        <v>11.81371428571429</v>
      </c>
      <c r="M22" s="185">
        <f>E$8/(E$8-1)*M$6/$E$9*(F22-G22)/10</f>
        <v>61.354040521572735</v>
      </c>
      <c r="N22" s="186"/>
      <c r="O22" s="187"/>
      <c r="P22" s="136">
        <f t="shared" si="2"/>
        <v>3.1667922991896996E-2</v>
      </c>
      <c r="Q22" s="137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0">
        <f>$P$4+(E23/60/24)</f>
        <v>40318.00277777778</v>
      </c>
      <c r="C23" s="181"/>
      <c r="D23" s="182"/>
      <c r="E23" s="58">
        <v>4</v>
      </c>
      <c r="F23" s="65">
        <v>1019</v>
      </c>
      <c r="G23" s="183">
        <f t="shared" si="0"/>
        <v>1003.8702255846989</v>
      </c>
      <c r="H23" s="184" t="e">
        <f>(1.0042-(5*10^-6)*#REF!*#REF!+5*10^-6*#REF!)*1000/0.998206</f>
        <v>#REF!</v>
      </c>
      <c r="I23" s="50">
        <v>23</v>
      </c>
      <c r="J23" s="130">
        <f t="shared" si="1"/>
        <v>9.5641888447027625E-6</v>
      </c>
      <c r="K23" s="131"/>
      <c r="L23" s="51">
        <f t="shared" ref="L23:L34" si="3">I$9-(F23+I$10-1000)/(1035-1000)*(I$9-I$8)-$I$7/$M$7/2</f>
        <v>11.135723322905811</v>
      </c>
      <c r="M23" s="188">
        <f t="shared" ref="M23:M34" si="4">E$8/(E$8-1)*M$6/E$9*(F23-G23)/10</f>
        <v>54.190602284257878</v>
      </c>
      <c r="N23" s="183"/>
      <c r="O23" s="184"/>
      <c r="P23" s="219">
        <f t="shared" si="2"/>
        <v>2.1740551996358225E-2</v>
      </c>
      <c r="Q23" s="220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49">
        <f t="shared" ref="B24:B34" si="5">$P$4+(E24/60/24)</f>
        <v>40318.005555555559</v>
      </c>
      <c r="C24" s="150"/>
      <c r="D24" s="151"/>
      <c r="E24" s="59">
        <v>8</v>
      </c>
      <c r="F24" s="66">
        <v>1017.9</v>
      </c>
      <c r="G24" s="126">
        <f t="shared" ref="G24:G35" si="6">((1.0042-(5*10^-6)*$I24*$I24+5*10^-6*$I24)*1000/0.998206)+$I$10</f>
        <v>1003.8702255846989</v>
      </c>
      <c r="H24" s="127" t="e">
        <f>(1.0042-(5*10^-6)*#REF!*#REF!+5*10^-6*#REF!)*1000/0.998206</f>
        <v>#REF!</v>
      </c>
      <c r="I24" s="48">
        <v>23</v>
      </c>
      <c r="J24" s="123">
        <f t="shared" ref="J24:J32" si="7">(0.004*I24*I24-0.4098*I24+16.689)/1000/980.7</f>
        <v>9.5641888447027625E-6</v>
      </c>
      <c r="K24" s="124"/>
      <c r="L24" s="48">
        <f t="shared" si="3"/>
        <v>11.428009037191529</v>
      </c>
      <c r="M24" s="125">
        <f t="shared" si="4"/>
        <v>50.250711253734629</v>
      </c>
      <c r="N24" s="126"/>
      <c r="O24" s="127"/>
      <c r="P24" s="134">
        <f t="shared" si="2"/>
        <v>1.5573335523528953E-2</v>
      </c>
      <c r="Q24" s="135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49">
        <f t="shared" si="5"/>
        <v>40318.011111111111</v>
      </c>
      <c r="C25" s="150"/>
      <c r="D25" s="151"/>
      <c r="E25" s="58">
        <v>16</v>
      </c>
      <c r="F25" s="66">
        <v>1016</v>
      </c>
      <c r="G25" s="126">
        <f t="shared" si="6"/>
        <v>1003.8702255846989</v>
      </c>
      <c r="H25" s="127" t="e">
        <f>(1.0042-(5*10^-6)*#REF!*#REF!+5*10^-6*#REF!)*1000/0.998206</f>
        <v>#REF!</v>
      </c>
      <c r="I25" s="48">
        <v>23</v>
      </c>
      <c r="J25" s="123">
        <f t="shared" si="7"/>
        <v>9.5641888447027625E-6</v>
      </c>
      <c r="K25" s="124"/>
      <c r="L25" s="48">
        <f t="shared" si="3"/>
        <v>11.932866180048666</v>
      </c>
      <c r="M25" s="125">
        <f t="shared" si="4"/>
        <v>43.445444928285596</v>
      </c>
      <c r="N25" s="126"/>
      <c r="O25" s="127"/>
      <c r="P25" s="134">
        <f t="shared" si="2"/>
        <v>1.1252622258716337E-2</v>
      </c>
      <c r="Q25" s="135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49">
        <f t="shared" si="5"/>
        <v>40318.022222222222</v>
      </c>
      <c r="C26" s="150"/>
      <c r="D26" s="151"/>
      <c r="E26" s="56">
        <v>32</v>
      </c>
      <c r="F26" s="66">
        <v>1014.5</v>
      </c>
      <c r="G26" s="126">
        <f t="shared" si="6"/>
        <v>1003.8702255846989</v>
      </c>
      <c r="H26" s="127" t="e">
        <f>(1.0042-(5*10^-6)*#REF!*#REF!+5*10^-6*#REF!)*1000/0.998206</f>
        <v>#REF!</v>
      </c>
      <c r="I26" s="48">
        <v>23</v>
      </c>
      <c r="J26" s="123">
        <f t="shared" si="7"/>
        <v>9.5641888447027625E-6</v>
      </c>
      <c r="K26" s="124"/>
      <c r="L26" s="48">
        <f t="shared" si="3"/>
        <v>12.331437608620096</v>
      </c>
      <c r="M26" s="125">
        <f t="shared" si="4"/>
        <v>38.072866250299462</v>
      </c>
      <c r="N26" s="126"/>
      <c r="O26" s="127"/>
      <c r="P26" s="134">
        <f t="shared" si="2"/>
        <v>8.0885972642894977E-3</v>
      </c>
      <c r="Q26" s="135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49">
        <f t="shared" si="5"/>
        <v>40318.044444444444</v>
      </c>
      <c r="C27" s="150"/>
      <c r="D27" s="151"/>
      <c r="E27" s="56">
        <v>64</v>
      </c>
      <c r="F27" s="66">
        <v>1013.1</v>
      </c>
      <c r="G27" s="126">
        <f t="shared" si="6"/>
        <v>1003.8702255846989</v>
      </c>
      <c r="H27" s="127" t="e">
        <f>(1.0042-(5*10^-6)*#REF!*#REF!+5*10^-6*#REF!)*1000/0.998206</f>
        <v>#REF!</v>
      </c>
      <c r="I27" s="48">
        <v>23</v>
      </c>
      <c r="J27" s="123">
        <f t="shared" si="7"/>
        <v>9.5641888447027625E-6</v>
      </c>
      <c r="K27" s="124"/>
      <c r="L27" s="48">
        <f t="shared" si="3"/>
        <v>12.703437608620089</v>
      </c>
      <c r="M27" s="125">
        <f t="shared" si="4"/>
        <v>33.058459484179146</v>
      </c>
      <c r="N27" s="126"/>
      <c r="O27" s="127"/>
      <c r="P27" s="134">
        <f t="shared" si="2"/>
        <v>5.8051305225945487E-3</v>
      </c>
      <c r="Q27" s="135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49">
        <f t="shared" si="5"/>
        <v>40318.088888888888</v>
      </c>
      <c r="C28" s="150"/>
      <c r="D28" s="151"/>
      <c r="E28" s="56">
        <v>128</v>
      </c>
      <c r="F28" s="66">
        <v>1012.2</v>
      </c>
      <c r="G28" s="126">
        <f t="shared" si="6"/>
        <v>1003.8702255846989</v>
      </c>
      <c r="H28" s="127" t="e">
        <f>(1.0042-(5*10^-6)*#REF!*#REF!+5*10^-6*#REF!)*1000/0.998206</f>
        <v>#REF!</v>
      </c>
      <c r="I28" s="48">
        <v>23</v>
      </c>
      <c r="J28" s="123">
        <f t="shared" si="7"/>
        <v>9.5641888447027625E-6</v>
      </c>
      <c r="K28" s="124"/>
      <c r="L28" s="48">
        <f t="shared" si="3"/>
        <v>12.942580465762941</v>
      </c>
      <c r="M28" s="125">
        <f t="shared" si="4"/>
        <v>29.834912277387541</v>
      </c>
      <c r="N28" s="126"/>
      <c r="O28" s="127"/>
      <c r="P28" s="134">
        <f t="shared" si="2"/>
        <v>4.1433039920404429E-3</v>
      </c>
      <c r="Q28" s="135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49">
        <f t="shared" si="5"/>
        <v>40318.181944444441</v>
      </c>
      <c r="C29" s="150"/>
      <c r="D29" s="151"/>
      <c r="E29" s="56">
        <v>262</v>
      </c>
      <c r="F29" s="66">
        <v>1011</v>
      </c>
      <c r="G29" s="126">
        <f t="shared" si="6"/>
        <v>1003.8702255846989</v>
      </c>
      <c r="H29" s="127" t="e">
        <f>(1.0042-(5*10^-6)*#REF!*#REF!+5*10^-6*#REF!)*1000/0.998206</f>
        <v>#REF!</v>
      </c>
      <c r="I29" s="48">
        <v>23</v>
      </c>
      <c r="J29" s="123">
        <f t="shared" si="7"/>
        <v>9.5641888447027625E-6</v>
      </c>
      <c r="K29" s="124"/>
      <c r="L29" s="48">
        <f t="shared" si="3"/>
        <v>13.261437608620096</v>
      </c>
      <c r="M29" s="125">
        <f t="shared" si="4"/>
        <v>25.536849334998472</v>
      </c>
      <c r="N29" s="126"/>
      <c r="O29" s="127"/>
      <c r="P29" s="134">
        <f t="shared" si="2"/>
        <v>2.9314737114694697E-3</v>
      </c>
      <c r="Q29" s="135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49">
        <f t="shared" si="5"/>
        <v>40318.253472222219</v>
      </c>
      <c r="C30" s="150"/>
      <c r="D30" s="151"/>
      <c r="E30" s="56">
        <v>365</v>
      </c>
      <c r="F30" s="66">
        <v>1010.9</v>
      </c>
      <c r="G30" s="126">
        <f t="shared" si="6"/>
        <v>1003.8702255846989</v>
      </c>
      <c r="H30" s="127" t="e">
        <f>(1.0042-(5*10^-6)*#REF!*#REF!+5*10^-6*#REF!)*1000/0.998206</f>
        <v>#REF!</v>
      </c>
      <c r="I30" s="48">
        <v>23</v>
      </c>
      <c r="J30" s="123">
        <f t="shared" si="7"/>
        <v>9.5641888447027625E-6</v>
      </c>
      <c r="K30" s="124"/>
      <c r="L30" s="48">
        <f t="shared" si="3"/>
        <v>13.28800903719153</v>
      </c>
      <c r="M30" s="125">
        <f t="shared" si="4"/>
        <v>25.178677423132648</v>
      </c>
      <c r="N30" s="126"/>
      <c r="O30" s="127"/>
      <c r="P30" s="134">
        <f t="shared" si="2"/>
        <v>2.4861359383824711E-3</v>
      </c>
      <c r="Q30" s="135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49">
        <f t="shared" si="5"/>
        <v>40318.878472222219</v>
      </c>
      <c r="C31" s="150"/>
      <c r="D31" s="151"/>
      <c r="E31" s="56">
        <v>1265</v>
      </c>
      <c r="F31" s="66">
        <v>1009</v>
      </c>
      <c r="G31" s="126">
        <f t="shared" si="6"/>
        <v>1003.8702255846989</v>
      </c>
      <c r="H31" s="127" t="e">
        <f>(1.0042-(5*10^-6)*#REF!*#REF!+5*10^-6*#REF!)*1000/0.998206</f>
        <v>#REF!</v>
      </c>
      <c r="I31" s="48">
        <v>23</v>
      </c>
      <c r="J31" s="123">
        <f t="shared" si="7"/>
        <v>9.5641888447027625E-6</v>
      </c>
      <c r="K31" s="124"/>
      <c r="L31" s="48">
        <f t="shared" si="3"/>
        <v>13.792866180048668</v>
      </c>
      <c r="M31" s="125">
        <f t="shared" si="4"/>
        <v>18.373411097683618</v>
      </c>
      <c r="N31" s="126"/>
      <c r="O31" s="127"/>
      <c r="P31" s="134">
        <f t="shared" si="2"/>
        <v>1.36057768872702E-3</v>
      </c>
      <c r="Q31" s="135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49">
        <f t="shared" si="5"/>
        <v>40322.086111111108</v>
      </c>
      <c r="C32" s="150"/>
      <c r="D32" s="151"/>
      <c r="E32" s="56">
        <v>5884</v>
      </c>
      <c r="F32" s="66">
        <v>1007.5</v>
      </c>
      <c r="G32" s="126">
        <f t="shared" si="6"/>
        <v>1003.8702255846989</v>
      </c>
      <c r="H32" s="127" t="e">
        <f>(1.0042-(5*10^-6)*#REF!*#REF!+5*10^-6*#REF!)*1000/0.998206</f>
        <v>#REF!</v>
      </c>
      <c r="I32" s="48">
        <v>23</v>
      </c>
      <c r="J32" s="123">
        <f t="shared" si="7"/>
        <v>9.5641888447027625E-6</v>
      </c>
      <c r="K32" s="124"/>
      <c r="L32" s="48">
        <f t="shared" si="3"/>
        <v>14.191437608620095</v>
      </c>
      <c r="M32" s="125">
        <f t="shared" si="4"/>
        <v>13.000832419697478</v>
      </c>
      <c r="N32" s="126"/>
      <c r="O32" s="127"/>
      <c r="P32" s="134">
        <f t="shared" si="2"/>
        <v>6.3990898837969418E-4</v>
      </c>
      <c r="Q32" s="135"/>
      <c r="R32" s="3"/>
      <c r="W32" s="30"/>
      <c r="X32" s="30"/>
      <c r="Y32" s="30"/>
      <c r="Z32" s="211"/>
      <c r="AA32" s="211"/>
      <c r="AB32" s="211"/>
      <c r="AC32" s="211"/>
      <c r="AD32" s="211"/>
      <c r="AE32" s="211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49">
        <f t="shared" si="5"/>
        <v>40322.963194444441</v>
      </c>
      <c r="C33" s="150"/>
      <c r="D33" s="151"/>
      <c r="E33" s="56">
        <v>7147</v>
      </c>
      <c r="F33" s="66">
        <v>1007.5</v>
      </c>
      <c r="G33" s="126">
        <f t="shared" si="6"/>
        <v>1003.8702255846989</v>
      </c>
      <c r="H33" s="127" t="e">
        <f>(1.0042-(5*10^-6)*#REF!*#REF!+5*10^-6*#REF!)*1000/0.998206</f>
        <v>#REF!</v>
      </c>
      <c r="I33" s="48">
        <v>23</v>
      </c>
      <c r="J33" s="123">
        <f>(0.004*I33*I33-0.4098*I33+16.689)/1000/980.7</f>
        <v>9.5641888447027625E-6</v>
      </c>
      <c r="K33" s="124"/>
      <c r="L33" s="48">
        <f t="shared" si="3"/>
        <v>14.191437608620095</v>
      </c>
      <c r="M33" s="125">
        <f t="shared" si="4"/>
        <v>13.000832419697478</v>
      </c>
      <c r="N33" s="126"/>
      <c r="O33" s="127"/>
      <c r="P33" s="134">
        <f t="shared" si="2"/>
        <v>5.8062088237734698E-4</v>
      </c>
      <c r="Q33" s="135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49">
        <f t="shared" si="5"/>
        <v>40324.035416666666</v>
      </c>
      <c r="C34" s="150"/>
      <c r="D34" s="151"/>
      <c r="E34" s="56">
        <v>8691</v>
      </c>
      <c r="F34" s="66">
        <v>1006.8</v>
      </c>
      <c r="G34" s="126">
        <f t="shared" si="6"/>
        <v>1003.8702255846989</v>
      </c>
      <c r="H34" s="127" t="e">
        <f>(1.0042-(5*10^-6)*#REF!*#REF!+5*10^-6*#REF!)*1000/0.998206</f>
        <v>#REF!</v>
      </c>
      <c r="I34" s="48">
        <v>23</v>
      </c>
      <c r="J34" s="123">
        <f>(0.004*I34*I34-0.4098*I34+16.689)/1000/980.7</f>
        <v>9.5641888447027625E-6</v>
      </c>
      <c r="K34" s="124"/>
      <c r="L34" s="48">
        <f t="shared" si="3"/>
        <v>14.377437608620108</v>
      </c>
      <c r="M34" s="125">
        <f t="shared" si="4"/>
        <v>10.493629036637117</v>
      </c>
      <c r="N34" s="126"/>
      <c r="O34" s="127"/>
      <c r="P34" s="134">
        <f t="shared" si="2"/>
        <v>5.2996503467167631E-4</v>
      </c>
      <c r="Q34" s="135"/>
      <c r="R34" s="3"/>
    </row>
    <row r="35" spans="1:37" ht="14.25" customHeight="1" thickBot="1" x14ac:dyDescent="0.3">
      <c r="A35" s="3"/>
      <c r="B35" s="216">
        <f t="shared" ref="B35" si="8">$P$4+(E35/60/24)</f>
        <v>40324.882638888892</v>
      </c>
      <c r="C35" s="217"/>
      <c r="D35" s="218"/>
      <c r="E35" s="60">
        <v>9911</v>
      </c>
      <c r="F35" s="67">
        <v>1006.6</v>
      </c>
      <c r="G35" s="172">
        <f t="shared" si="6"/>
        <v>1003.8702255846989</v>
      </c>
      <c r="H35" s="173" t="e">
        <f>(1.0042-(5*10^-6)*#REF!*#REF!+5*10^-6*#REF!)*1000/0.998206</f>
        <v>#REF!</v>
      </c>
      <c r="I35" s="52">
        <v>23</v>
      </c>
      <c r="J35" s="69">
        <f>(0.004*I35*I35-0.4098*I35+16.689)/1000/980.7</f>
        <v>9.5641888447027625E-6</v>
      </c>
      <c r="K35" s="107"/>
      <c r="L35" s="53">
        <f t="shared" ref="L35" si="9">I$9-(F35+I$10-1000)/(1035-1000)*(I$9-I$8)-$I$7/$M$7/2</f>
        <v>14.430580465762947</v>
      </c>
      <c r="M35" s="174">
        <f t="shared" ref="M35" si="10">E$8/(E$8-1)*M$6/E$9*(F35-G35)/10</f>
        <v>9.7772852129058769</v>
      </c>
      <c r="N35" s="172"/>
      <c r="O35" s="173"/>
      <c r="P35" s="175">
        <f t="shared" ref="P35" si="11">(18*J35/(E$8-1)*L35/E35/60)^0.5*10</f>
        <v>4.9719243120076068E-4</v>
      </c>
      <c r="Q35" s="176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59</v>
      </c>
      <c r="C38" s="19"/>
      <c r="D38" s="19"/>
      <c r="E38" s="19"/>
      <c r="F38" s="55"/>
      <c r="G38" s="22"/>
      <c r="H38" s="75"/>
      <c r="I38" s="75"/>
      <c r="J38" s="92" t="s">
        <v>66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0" t="s">
        <v>53</v>
      </c>
      <c r="C39" s="141"/>
      <c r="D39" s="141"/>
      <c r="E39" s="141"/>
      <c r="F39" s="113">
        <v>6.65</v>
      </c>
      <c r="G39" s="93" t="s">
        <v>11</v>
      </c>
      <c r="H39" s="22"/>
      <c r="I39" s="22"/>
      <c r="J39" s="212" t="s">
        <v>55</v>
      </c>
      <c r="K39" s="212"/>
      <c r="L39" s="212"/>
      <c r="M39" s="213">
        <f>M31+(0.002-P31)*((M30-M31)/(P30-P31))</f>
        <v>22.239438576917888</v>
      </c>
      <c r="N39" s="213"/>
      <c r="O39" s="213"/>
      <c r="P39" s="95" t="s">
        <v>7</v>
      </c>
      <c r="Q39" s="90"/>
      <c r="R39" s="3"/>
    </row>
    <row r="40" spans="1:37" ht="14.25" customHeight="1" x14ac:dyDescent="0.25">
      <c r="A40" s="3"/>
      <c r="B40" s="210" t="s">
        <v>52</v>
      </c>
      <c r="C40" s="141"/>
      <c r="D40" s="141"/>
      <c r="E40" s="141"/>
      <c r="F40" s="114">
        <f>$F$39/$E$9*100</f>
        <v>14.963996399639958</v>
      </c>
      <c r="G40" s="93" t="s">
        <v>7</v>
      </c>
      <c r="H40" s="22"/>
      <c r="I40" s="22"/>
      <c r="J40" s="214" t="s">
        <v>54</v>
      </c>
      <c r="K40" s="214"/>
      <c r="L40" s="214"/>
      <c r="M40" s="215">
        <v>2E-3</v>
      </c>
      <c r="N40" s="215"/>
      <c r="O40" s="215"/>
      <c r="P40" s="96" t="s">
        <v>8</v>
      </c>
      <c r="Q40" s="90"/>
      <c r="R40" s="3"/>
    </row>
    <row r="41" spans="1:37" ht="14.25" customHeight="1" x14ac:dyDescent="0.25">
      <c r="A41" s="3"/>
      <c r="B41" s="210" t="s">
        <v>60</v>
      </c>
      <c r="C41" s="141"/>
      <c r="D41" s="141"/>
      <c r="E41" s="141"/>
      <c r="F41" s="114">
        <f>100-$F$40</f>
        <v>85.036003600360047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0" t="s">
        <v>56</v>
      </c>
      <c r="C42" s="142"/>
      <c r="D42" s="142"/>
      <c r="E42" s="142"/>
      <c r="F42" s="115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P23:Q23"/>
    <mergeCell ref="G22:H22"/>
    <mergeCell ref="I15:I17"/>
    <mergeCell ref="E15:E17"/>
    <mergeCell ref="F15:F17"/>
    <mergeCell ref="G15:H17"/>
    <mergeCell ref="L15:L17"/>
    <mergeCell ref="AB18:AE18"/>
    <mergeCell ref="J18:K18"/>
    <mergeCell ref="AE19:AF19"/>
    <mergeCell ref="AG19:AH19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P25:Q25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19:K19"/>
    <mergeCell ref="J20:K20"/>
    <mergeCell ref="J21:K21"/>
    <mergeCell ref="M34:O34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M30:O30"/>
    <mergeCell ref="O9:P9"/>
    <mergeCell ref="O10:P10"/>
    <mergeCell ref="M19:O19"/>
    <mergeCell ref="P26:Q26"/>
    <mergeCell ref="P28:Q28"/>
    <mergeCell ref="P21:Q21"/>
    <mergeCell ref="P22:Q22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Q15" sqref="Q15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GS077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4R-4 11-15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40318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2012-09-25T14:50:07Z</dcterms:modified>
</cp:coreProperties>
</file>