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40" yWindow="90" windowWidth="1980" windowHeight="9855" tabRatio="763" activeTab="0"/>
  </bookViews>
  <sheets>
    <sheet name="C0011" sheetId="1" r:id="rId1"/>
  </sheets>
  <definedNames>
    <definedName name="_xlnm.Print_Area" localSheetId="0">'C0011'!$A$1:$AJ$426</definedName>
  </definedNames>
  <calcPr fullCalcOnLoad="1"/>
</workbook>
</file>

<file path=xl/comments1.xml><?xml version="1.0" encoding="utf-8"?>
<comments xmlns="http://schemas.openxmlformats.org/spreadsheetml/2006/main">
  <authors>
    <author>Tim Byrne</author>
  </authors>
  <commentList>
    <comment ref="A1" authorId="0">
      <text>
        <r>
          <rPr>
            <b/>
            <sz val="9"/>
            <rFont val="Verdana"/>
            <family val="2"/>
          </rPr>
          <t>Tim Byrne: Tim's main file- yellow shows changes since Chikyu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<sst xmlns="http://schemas.openxmlformats.org/spreadsheetml/2006/main" count="1365" uniqueCount="151">
  <si>
    <t xml:space="preserve"> plane orientation (RHR)</t>
  </si>
  <si>
    <t>fault</t>
  </si>
  <si>
    <t>depth</t>
  </si>
  <si>
    <t>dip dir</t>
  </si>
  <si>
    <t>dip</t>
  </si>
  <si>
    <t>corrected orientation (RHR)</t>
  </si>
  <si>
    <t>fault</t>
  </si>
  <si>
    <t>az</t>
  </si>
  <si>
    <t>rake</t>
  </si>
  <si>
    <t>slip sense</t>
  </si>
  <si>
    <t>str rake</t>
  </si>
  <si>
    <t>n</t>
  </si>
  <si>
    <t>P-mag pole</t>
  </si>
  <si>
    <t>Dec</t>
  </si>
  <si>
    <t>Inc</t>
  </si>
  <si>
    <t>average depth</t>
  </si>
  <si>
    <t>top of struct</t>
  </si>
  <si>
    <t>Red means uncertain data</t>
  </si>
  <si>
    <t>coherent interval (for P-mag)</t>
  </si>
  <si>
    <t>sect</t>
  </si>
  <si>
    <t xml:space="preserve">bottom of struct </t>
  </si>
  <si>
    <t>2nd app. dip</t>
  </si>
  <si>
    <t>bottom</t>
  </si>
  <si>
    <t>hole</t>
  </si>
  <si>
    <t>core</t>
  </si>
  <si>
    <t>notes</t>
  </si>
  <si>
    <t>±1, 90 or 270</t>
  </si>
  <si>
    <t>top-&gt;"1"</t>
  </si>
  <si>
    <t>bottom-&gt;"-1"</t>
  </si>
  <si>
    <t>from</t>
  </si>
  <si>
    <t>l</t>
  </si>
  <si>
    <t>m</t>
  </si>
  <si>
    <t>strike</t>
  </si>
  <si>
    <t>csf rake</t>
  </si>
  <si>
    <t>str rake</t>
  </si>
  <si>
    <t>striation on surface</t>
  </si>
  <si>
    <t xml:space="preserve"> plane-normal orientation</t>
  </si>
  <si>
    <t>structure ID</t>
  </si>
  <si>
    <t>core face app. dip</t>
  </si>
  <si>
    <t>az</t>
  </si>
  <si>
    <t>top</t>
  </si>
  <si>
    <t>strike</t>
  </si>
  <si>
    <t>≤90</t>
  </si>
  <si>
    <t>thickness (cm)</t>
  </si>
  <si>
    <t>bedding</t>
  </si>
  <si>
    <t>1H</t>
  </si>
  <si>
    <t>3H</t>
  </si>
  <si>
    <t>C</t>
  </si>
  <si>
    <t>2H</t>
  </si>
  <si>
    <t>D</t>
  </si>
  <si>
    <t>fault</t>
  </si>
  <si>
    <t>N</t>
  </si>
  <si>
    <t>4H</t>
  </si>
  <si>
    <t>5H</t>
  </si>
  <si>
    <t>offset = 2 mm</t>
  </si>
  <si>
    <t>offset = 3 mm</t>
  </si>
  <si>
    <t>offset = 16 mm</t>
  </si>
  <si>
    <t>offset &gt; 3 cm</t>
  </si>
  <si>
    <t>offset = 8 mm</t>
  </si>
  <si>
    <t>offset = 4 mm</t>
  </si>
  <si>
    <t>offset = 2 cm</t>
  </si>
  <si>
    <t>6H</t>
  </si>
  <si>
    <t>10H</t>
  </si>
  <si>
    <t>shear zone</t>
  </si>
  <si>
    <t>parallel lamination</t>
  </si>
  <si>
    <t>offset = 7 mm</t>
  </si>
  <si>
    <t>offset = 6 mm</t>
  </si>
  <si>
    <t>11H</t>
  </si>
  <si>
    <t>7H</t>
  </si>
  <si>
    <t>8H</t>
  </si>
  <si>
    <t>9H</t>
  </si>
  <si>
    <t>　　</t>
  </si>
  <si>
    <t>offset = 8mm</t>
  </si>
  <si>
    <t>cc</t>
  </si>
  <si>
    <t>12H1</t>
  </si>
  <si>
    <t>12H2</t>
  </si>
  <si>
    <t>12H3</t>
  </si>
  <si>
    <t>12H4</t>
  </si>
  <si>
    <t>12H5</t>
  </si>
  <si>
    <t>12H6</t>
  </si>
  <si>
    <t>12H7</t>
  </si>
  <si>
    <t>12H8</t>
  </si>
  <si>
    <t>12H9</t>
  </si>
  <si>
    <t>12H10</t>
  </si>
  <si>
    <t>12H11</t>
  </si>
  <si>
    <t>12H12</t>
  </si>
  <si>
    <t>12H13</t>
  </si>
  <si>
    <t>12H14</t>
  </si>
  <si>
    <t>12H15</t>
  </si>
  <si>
    <t>12H16</t>
  </si>
  <si>
    <t>12H17</t>
  </si>
  <si>
    <t>12H</t>
  </si>
  <si>
    <t>13H</t>
  </si>
  <si>
    <t>14H</t>
  </si>
  <si>
    <t>15H</t>
  </si>
  <si>
    <t>16H</t>
  </si>
  <si>
    <t>offset = 19 mm</t>
  </si>
  <si>
    <t>17H</t>
  </si>
  <si>
    <t>18H</t>
  </si>
  <si>
    <t>19H</t>
  </si>
  <si>
    <t>20H</t>
  </si>
  <si>
    <t>21H</t>
  </si>
  <si>
    <t>22H</t>
  </si>
  <si>
    <t>28X</t>
  </si>
  <si>
    <t>29X</t>
  </si>
  <si>
    <t>30X</t>
  </si>
  <si>
    <t>31X</t>
  </si>
  <si>
    <t>34X</t>
  </si>
  <si>
    <t>dark layer</t>
  </si>
  <si>
    <t>23T</t>
  </si>
  <si>
    <t>25T</t>
  </si>
  <si>
    <t>26X</t>
  </si>
  <si>
    <t>32X</t>
  </si>
  <si>
    <t>33X</t>
  </si>
  <si>
    <t>38X</t>
  </si>
  <si>
    <t>breccia</t>
  </si>
  <si>
    <t>39X</t>
  </si>
  <si>
    <t xml:space="preserve"> </t>
  </si>
  <si>
    <t>offset = 1 mm</t>
  </si>
  <si>
    <t>42X</t>
  </si>
  <si>
    <t>35X</t>
  </si>
  <si>
    <t>bedding</t>
  </si>
  <si>
    <t>36X</t>
  </si>
  <si>
    <t>dark layer</t>
  </si>
  <si>
    <t>37X</t>
  </si>
  <si>
    <t>dark zone</t>
  </si>
  <si>
    <t>40X</t>
  </si>
  <si>
    <t>shear zone</t>
  </si>
  <si>
    <t>fault</t>
  </si>
  <si>
    <t>41X</t>
  </si>
  <si>
    <t>mineral vein</t>
  </si>
  <si>
    <t>43X</t>
  </si>
  <si>
    <t>44X</t>
  </si>
  <si>
    <t>dewatering structure</t>
  </si>
  <si>
    <t>45X</t>
  </si>
  <si>
    <t>cc</t>
  </si>
  <si>
    <t>46X</t>
  </si>
  <si>
    <t>47X</t>
  </si>
  <si>
    <t>48X</t>
  </si>
  <si>
    <t>49X</t>
  </si>
  <si>
    <t>52X</t>
  </si>
  <si>
    <t>C00011</t>
  </si>
  <si>
    <t>N</t>
  </si>
  <si>
    <t>offset = 5 mm</t>
  </si>
  <si>
    <t>bedding</t>
  </si>
  <si>
    <t>offset = 5 cm</t>
  </si>
  <si>
    <t>offset = 7 mm</t>
  </si>
  <si>
    <t>offset = 4 mm</t>
  </si>
  <si>
    <t>sediment-filled vein</t>
  </si>
  <si>
    <t>low-angle healed fault</t>
  </si>
  <si>
    <t>dark layer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</si>
</sst>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&quot; €&quot;;\-#,##0&quot; €&quot;"/>
    <numFmt numFmtId="185" formatCode="#,##0&quot; €&quot;;[Red]\-#,##0&quot; €&quot;"/>
    <numFmt numFmtId="186" formatCode="#,##0.00&quot; €&quot;;\-#,##0.00&quot; €&quot;"/>
    <numFmt numFmtId="187" formatCode="#,##0.00&quot; €&quot;;[Red]\-#,##0.00&quot; €&quot;"/>
    <numFmt numFmtId="188" formatCode="_-* #,##0&quot; €&quot;_-;\-* #,##0&quot; €&quot;_-;_-* &quot;-&quot;&quot; €&quot;_-;_-@_-"/>
    <numFmt numFmtId="189" formatCode="_-* #,##0_ _€_-;\-* #,##0_ _€_-;_-* &quot;-&quot;_ _€_-;_-@_-"/>
    <numFmt numFmtId="190" formatCode="_-* #,##0.00&quot; €&quot;_-;\-* #,##0.00&quot; €&quot;_-;_-* &quot;-&quot;??&quot; €&quot;_-;_-@_-"/>
    <numFmt numFmtId="191" formatCode="_-* #,##0.00_ _€_-;\-* #,##0.00_ _€_-;_-* &quot;-&quot;??_ _€_-;_-@_-"/>
    <numFmt numFmtId="192" formatCode="0.0"/>
    <numFmt numFmtId="193" formatCode="0.0_ "/>
    <numFmt numFmtId="194" formatCode="00000"/>
    <numFmt numFmtId="195" formatCode="d/mm/yyyy"/>
    <numFmt numFmtId="196" formatCode="0.000_);[Red]\(0.000\)"/>
    <numFmt numFmtId="197" formatCode="0.000_ "/>
    <numFmt numFmtId="198" formatCode="0.00_ "/>
    <numFmt numFmtId="199" formatCode="0.00_);[Red]\(0.00\)"/>
    <numFmt numFmtId="200" formatCode="0_ "/>
    <numFmt numFmtId="201" formatCode="0_);[Red]\(0\)"/>
    <numFmt numFmtId="202" formatCode="0.000000"/>
    <numFmt numFmtId="203" formatCode="0.00000"/>
    <numFmt numFmtId="204" formatCode="0.0000"/>
    <numFmt numFmtId="205" formatCode="0.000"/>
  </numFmts>
  <fonts count="53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6"/>
      <name val="ＭＳ Ｐゴシック"/>
      <family val="3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0"/>
      <color indexed="17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62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14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sz val="10"/>
      <color rgb="FFC00000"/>
      <name val="Arial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3" borderId="12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33" borderId="10" xfId="0" applyNumberFormat="1" applyFill="1" applyBorder="1" applyAlignment="1">
      <alignment/>
    </xf>
    <xf numFmtId="1" fontId="0" fillId="33" borderId="19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0" xfId="0" applyFill="1" applyAlignment="1">
      <alignment/>
    </xf>
    <xf numFmtId="192" fontId="0" fillId="0" borderId="12" xfId="0" applyNumberFormat="1" applyFill="1" applyBorder="1" applyAlignment="1">
      <alignment/>
    </xf>
    <xf numFmtId="19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1" fontId="0" fillId="33" borderId="13" xfId="0" applyNumberFormat="1" applyFont="1" applyFill="1" applyBorder="1" applyAlignment="1">
      <alignment horizontal="center"/>
    </xf>
    <xf numFmtId="198" fontId="0" fillId="33" borderId="0" xfId="0" applyNumberFormat="1" applyFill="1" applyBorder="1" applyAlignment="1">
      <alignment/>
    </xf>
    <xf numFmtId="198" fontId="0" fillId="33" borderId="12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Alignment="1">
      <alignment/>
    </xf>
    <xf numFmtId="199" fontId="0" fillId="0" borderId="12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200" fontId="0" fillId="33" borderId="21" xfId="0" applyNumberFormat="1" applyFont="1" applyFill="1" applyBorder="1" applyAlignment="1">
      <alignment horizontal="right"/>
    </xf>
    <xf numFmtId="200" fontId="0" fillId="33" borderId="22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201" fontId="0" fillId="33" borderId="11" xfId="0" applyNumberFormat="1" applyFill="1" applyBorder="1" applyAlignment="1">
      <alignment/>
    </xf>
    <xf numFmtId="201" fontId="0" fillId="33" borderId="12" xfId="0" applyNumberFormat="1" applyFont="1" applyFill="1" applyBorder="1" applyAlignment="1">
      <alignment/>
    </xf>
    <xf numFmtId="198" fontId="0" fillId="33" borderId="11" xfId="0" applyNumberFormat="1" applyFill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192" fontId="12" fillId="0" borderId="0" xfId="0" applyNumberFormat="1" applyFont="1" applyBorder="1" applyAlignment="1">
      <alignment/>
    </xf>
    <xf numFmtId="19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9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1" fontId="12" fillId="33" borderId="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1" fontId="12" fillId="33" borderId="19" xfId="0" applyNumberFormat="1" applyFont="1" applyFill="1" applyBorder="1" applyAlignment="1">
      <alignment/>
    </xf>
    <xf numFmtId="201" fontId="12" fillId="33" borderId="0" xfId="0" applyNumberFormat="1" applyFont="1" applyFill="1" applyBorder="1" applyAlignment="1">
      <alignment/>
    </xf>
    <xf numFmtId="201" fontId="12" fillId="33" borderId="0" xfId="0" applyNumberFormat="1" applyFont="1" applyFill="1" applyBorder="1" applyAlignment="1">
      <alignment/>
    </xf>
    <xf numFmtId="1" fontId="12" fillId="33" borderId="19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200" fontId="12" fillId="33" borderId="21" xfId="0" applyNumberFormat="1" applyFont="1" applyFill="1" applyBorder="1" applyAlignment="1">
      <alignment horizontal="right"/>
    </xf>
    <xf numFmtId="1" fontId="0" fillId="33" borderId="19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1" fontId="7" fillId="33" borderId="19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92" fontId="0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6" fillId="0" borderId="19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0" xfId="0" applyNumberFormat="1" applyBorder="1" applyAlignment="1">
      <alignment/>
    </xf>
    <xf numFmtId="0" fontId="14" fillId="0" borderId="0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192" fontId="0" fillId="0" borderId="27" xfId="0" applyNumberFormat="1" applyBorder="1" applyAlignment="1">
      <alignment horizontal="center" vertical="center" wrapText="1"/>
    </xf>
    <xf numFmtId="192" fontId="0" fillId="0" borderId="14" xfId="0" applyNumberFormat="1" applyBorder="1" applyAlignment="1">
      <alignment vertical="center"/>
    </xf>
    <xf numFmtId="193" fontId="0" fillId="0" borderId="27" xfId="0" applyNumberFormat="1" applyBorder="1" applyAlignment="1">
      <alignment horizontal="center" vertical="center" wrapText="1"/>
    </xf>
    <xf numFmtId="193" fontId="0" fillId="0" borderId="14" xfId="0" applyNumberForma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9" fontId="0" fillId="0" borderId="30" xfId="0" applyNumberFormat="1" applyBorder="1" applyAlignment="1">
      <alignment horizontal="center" vertical="center" wrapText="1"/>
    </xf>
    <xf numFmtId="199" fontId="0" fillId="0" borderId="17" xfId="0" applyNumberFormat="1" applyBorder="1" applyAlignment="1">
      <alignment vertical="center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textRotation="90"/>
    </xf>
    <xf numFmtId="0" fontId="0" fillId="0" borderId="32" xfId="0" applyBorder="1" applyAlignment="1">
      <alignment/>
    </xf>
    <xf numFmtId="0" fontId="0" fillId="0" borderId="29" xfId="0" applyBorder="1" applyAlignment="1">
      <alignment textRotation="90"/>
    </xf>
    <xf numFmtId="0" fontId="0" fillId="0" borderId="33" xfId="0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8"/>
  <sheetViews>
    <sheetView tabSelected="1" zoomScalePageLayoutView="0" workbookViewId="0" topLeftCell="A1">
      <pane xSplit="5" ySplit="2" topLeftCell="F396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26" sqref="A1:AJ426"/>
    </sheetView>
  </sheetViews>
  <sheetFormatPr defaultColWidth="11.00390625" defaultRowHeight="12.75"/>
  <cols>
    <col min="1" max="1" width="7.25390625" style="0" customWidth="1"/>
    <col min="2" max="2" width="2.25390625" style="0" customWidth="1"/>
    <col min="3" max="3" width="3.625" style="0" customWidth="1"/>
    <col min="4" max="4" width="2.75390625" style="0" customWidth="1"/>
    <col min="5" max="5" width="17.375" style="0" customWidth="1"/>
    <col min="6" max="6" width="5.625" style="16" customWidth="1"/>
    <col min="7" max="7" width="7.75390625" style="18" customWidth="1"/>
    <col min="8" max="8" width="7.875" style="0" customWidth="1"/>
    <col min="9" max="9" width="8.75390625" style="42" customWidth="1"/>
    <col min="10" max="10" width="6.375" style="0" customWidth="1"/>
    <col min="11" max="11" width="5.00390625" style="0" customWidth="1"/>
    <col min="12" max="12" width="5.625" style="0" customWidth="1"/>
    <col min="13" max="14" width="6.00390625" style="0" customWidth="1"/>
    <col min="15" max="15" width="6.00390625" style="45" customWidth="1"/>
    <col min="16" max="16" width="6.00390625" style="1" customWidth="1"/>
    <col min="17" max="18" width="6.00390625" style="0" customWidth="1"/>
    <col min="19" max="19" width="6.25390625" style="0" customWidth="1"/>
    <col min="20" max="20" width="6.625" style="0" customWidth="1"/>
    <col min="21" max="22" width="5.75390625" style="0" customWidth="1"/>
    <col min="23" max="23" width="3.75390625" style="0" customWidth="1"/>
    <col min="24" max="24" width="7.625" style="0" customWidth="1"/>
    <col min="25" max="25" width="7.375" style="0" customWidth="1"/>
    <col min="26" max="26" width="8.875" style="0" customWidth="1"/>
    <col min="27" max="27" width="7.25390625" style="0" customWidth="1"/>
    <col min="28" max="29" width="7.875" style="0" customWidth="1"/>
    <col min="30" max="30" width="6.375" style="0" customWidth="1"/>
    <col min="31" max="32" width="8.00390625" style="0" customWidth="1"/>
    <col min="33" max="33" width="6.125" style="0" customWidth="1"/>
    <col min="34" max="34" width="7.625" style="0" customWidth="1"/>
    <col min="35" max="35" width="8.875" style="0" customWidth="1"/>
  </cols>
  <sheetData>
    <row r="1" spans="1:35" ht="27" customHeight="1">
      <c r="A1" s="87" t="s">
        <v>141</v>
      </c>
      <c r="B1" s="110" t="s">
        <v>23</v>
      </c>
      <c r="C1" s="110" t="s">
        <v>24</v>
      </c>
      <c r="D1" s="112" t="s">
        <v>19</v>
      </c>
      <c r="E1" s="119" t="s">
        <v>37</v>
      </c>
      <c r="F1" s="95" t="s">
        <v>16</v>
      </c>
      <c r="G1" s="97" t="s">
        <v>20</v>
      </c>
      <c r="H1" s="99" t="s">
        <v>15</v>
      </c>
      <c r="I1" s="105" t="s">
        <v>43</v>
      </c>
      <c r="J1" s="107" t="s">
        <v>38</v>
      </c>
      <c r="K1" s="108"/>
      <c r="L1" s="104" t="s">
        <v>21</v>
      </c>
      <c r="M1" s="116"/>
      <c r="N1" s="104" t="s">
        <v>35</v>
      </c>
      <c r="O1" s="94"/>
      <c r="P1" s="117" t="s">
        <v>36</v>
      </c>
      <c r="Q1" s="118"/>
      <c r="R1" s="118"/>
      <c r="S1" s="118"/>
      <c r="T1" s="118"/>
      <c r="U1" s="101" t="s">
        <v>0</v>
      </c>
      <c r="V1" s="102"/>
      <c r="W1" s="103"/>
      <c r="X1" s="121" t="s">
        <v>1</v>
      </c>
      <c r="Y1" s="117"/>
      <c r="Z1" s="109"/>
      <c r="AA1" s="114" t="s">
        <v>18</v>
      </c>
      <c r="AB1" s="115"/>
      <c r="AC1" s="93" t="s">
        <v>12</v>
      </c>
      <c r="AD1" s="94"/>
      <c r="AE1" s="122" t="s">
        <v>5</v>
      </c>
      <c r="AF1" s="123"/>
      <c r="AG1" s="124"/>
      <c r="AH1" s="104" t="s">
        <v>6</v>
      </c>
      <c r="AI1" s="109"/>
    </row>
    <row r="2" spans="1:36" ht="18" customHeight="1">
      <c r="A2" s="88" t="s">
        <v>2</v>
      </c>
      <c r="B2" s="111"/>
      <c r="C2" s="111"/>
      <c r="D2" s="113"/>
      <c r="E2" s="120"/>
      <c r="F2" s="96"/>
      <c r="G2" s="98"/>
      <c r="H2" s="100"/>
      <c r="I2" s="106"/>
      <c r="J2" s="7" t="s">
        <v>7</v>
      </c>
      <c r="K2" s="6" t="s">
        <v>4</v>
      </c>
      <c r="L2" s="6" t="s">
        <v>7</v>
      </c>
      <c r="M2" s="6" t="s">
        <v>4</v>
      </c>
      <c r="N2" s="9" t="s">
        <v>8</v>
      </c>
      <c r="O2" s="8" t="s">
        <v>29</v>
      </c>
      <c r="P2" s="10" t="s">
        <v>30</v>
      </c>
      <c r="Q2" s="10" t="s">
        <v>31</v>
      </c>
      <c r="R2" s="6" t="s">
        <v>11</v>
      </c>
      <c r="S2" s="10" t="s">
        <v>39</v>
      </c>
      <c r="T2" s="9" t="s">
        <v>4</v>
      </c>
      <c r="U2" s="7" t="s">
        <v>3</v>
      </c>
      <c r="V2" s="44" t="s">
        <v>32</v>
      </c>
      <c r="W2" s="8" t="s">
        <v>4</v>
      </c>
      <c r="X2" s="9" t="s">
        <v>33</v>
      </c>
      <c r="Y2" s="20" t="s">
        <v>34</v>
      </c>
      <c r="Z2" s="21" t="s">
        <v>9</v>
      </c>
      <c r="AA2" s="7" t="s">
        <v>40</v>
      </c>
      <c r="AB2" s="9" t="s">
        <v>22</v>
      </c>
      <c r="AC2" s="7" t="s">
        <v>13</v>
      </c>
      <c r="AD2" s="8" t="s">
        <v>14</v>
      </c>
      <c r="AE2" s="7" t="s">
        <v>3</v>
      </c>
      <c r="AF2" s="6" t="s">
        <v>41</v>
      </c>
      <c r="AG2" s="6" t="s">
        <v>4</v>
      </c>
      <c r="AH2" s="20" t="s">
        <v>10</v>
      </c>
      <c r="AI2" s="21" t="s">
        <v>9</v>
      </c>
      <c r="AJ2" t="s">
        <v>25</v>
      </c>
    </row>
    <row r="3" spans="1:35" ht="12.75" customHeight="1">
      <c r="A3" s="89">
        <f>H3/100+0</f>
        <v>0.565</v>
      </c>
      <c r="B3" s="90" t="s">
        <v>47</v>
      </c>
      <c r="C3" s="1" t="s">
        <v>45</v>
      </c>
      <c r="D3" s="1">
        <v>1</v>
      </c>
      <c r="E3" s="2" t="s">
        <v>44</v>
      </c>
      <c r="F3" s="15">
        <v>56.5</v>
      </c>
      <c r="G3" s="17">
        <v>56.5</v>
      </c>
      <c r="H3" s="1">
        <f aca="true" t="shared" si="0" ref="H3:H66">(F3+G3)/2</f>
        <v>56.5</v>
      </c>
      <c r="I3" s="40"/>
      <c r="J3" s="2">
        <v>90</v>
      </c>
      <c r="K3" s="11">
        <v>1</v>
      </c>
      <c r="L3" s="11">
        <v>80</v>
      </c>
      <c r="M3" s="11">
        <v>0</v>
      </c>
      <c r="N3" s="11"/>
      <c r="O3" s="46"/>
      <c r="P3" s="38">
        <f aca="true" t="shared" si="1" ref="P3:P32">COS(K3*PI()/180)*SIN(J3*PI()/180)*(SIN((M3)*PI()/180))-(COS((M3)*PI()/180)*SIN(L3*PI()/180))*(SIN(K3*PI()/180))</f>
        <v>-0.01718726516815697</v>
      </c>
      <c r="Q3" s="38">
        <f aca="true" t="shared" si="2" ref="Q3:Q32">(SIN(K3*PI()/180))*(COS((M3)*PI()/180)*COS(L3*PI()/180))-(SIN((M3)*PI()/180))*(COS(K3*PI()/180)*COS(J3*PI()/180))</f>
        <v>0.0030305785737368873</v>
      </c>
      <c r="R3" s="38">
        <f aca="true" t="shared" si="3" ref="R3:R32">(COS(K3*PI()/180)*COS(J3*PI()/180))*(COS((M3)*PI()/180)*SIN(L3*PI()/180))-(COS(K3*PI()/180)*SIN(J3*PI()/180))*(COS((M3)*PI()/180)*COS(L3*PI()/180))</f>
        <v>-0.17362173020838786</v>
      </c>
      <c r="S3" s="12">
        <f aca="true" t="shared" si="4" ref="S3:S32">IF(P3=0,IF(Q3&gt;=0,90,270),IF(P3&gt;0,IF(Q3&gt;=0,ATAN(Q3/P3)*180/PI(),ATAN(Q3/P3)*180/PI()+360),ATAN(Q3/P3)*180/PI()+180))</f>
        <v>170</v>
      </c>
      <c r="T3" s="12">
        <f aca="true" t="shared" si="5" ref="T3:T32">ASIN(R3/SQRT(P3^2+Q3^2+R3^2))*180/PI()</f>
        <v>-84.25992586358726</v>
      </c>
      <c r="U3" s="22">
        <f aca="true" t="shared" si="6" ref="U3:U32">IF(R3&lt;0,S3,IF(S3+180&gt;=360,S3-180,S3+180))</f>
        <v>170</v>
      </c>
      <c r="V3" s="12">
        <f aca="true" t="shared" si="7" ref="V3:V32">IF(U3-90&lt;0,U3+270,U3-90)</f>
        <v>80</v>
      </c>
      <c r="W3" s="23">
        <f aca="true" t="shared" si="8" ref="W3:W32">IF(R3&lt;0,90+T3,90-T3)</f>
        <v>5.740074136412744</v>
      </c>
      <c r="X3" s="65"/>
      <c r="Y3" s="66"/>
      <c r="Z3" s="71"/>
      <c r="AA3" s="2">
        <v>0</v>
      </c>
      <c r="AB3" s="1">
        <v>140</v>
      </c>
      <c r="AC3" s="83">
        <v>320.7</v>
      </c>
      <c r="AD3" s="84">
        <v>60</v>
      </c>
      <c r="AE3" s="22">
        <f aca="true" t="shared" si="9" ref="AE3:AE23">IF(AD3&gt;=0,IF(U3&gt;=AC3,U3-AC3,U3-AC3+360),IF((U3-AC3-180)&lt;0,IF(U3-AC3+180&lt;0,U3-AC3+540,U3-AC3+180),U3-AC3-180))</f>
        <v>209.3</v>
      </c>
      <c r="AF3" s="12">
        <f aca="true" t="shared" si="10" ref="AF3:AF23">IF(AE3-90&lt;0,AE3+270,AE3-90)</f>
        <v>119.30000000000001</v>
      </c>
      <c r="AG3" s="12">
        <f aca="true" t="shared" si="11" ref="AG3:AG23">W3</f>
        <v>5.740074136412744</v>
      </c>
      <c r="AH3" s="48"/>
      <c r="AI3" s="27"/>
    </row>
    <row r="4" spans="1:35" ht="12.75" customHeight="1">
      <c r="A4" s="89">
        <f>H4/100+0.599</f>
        <v>0.9039999999999999</v>
      </c>
      <c r="B4" s="90" t="s">
        <v>47</v>
      </c>
      <c r="C4" s="1" t="s">
        <v>45</v>
      </c>
      <c r="D4" s="1">
        <v>2</v>
      </c>
      <c r="E4" s="2" t="s">
        <v>44</v>
      </c>
      <c r="F4" s="15">
        <v>30</v>
      </c>
      <c r="G4" s="17">
        <v>31</v>
      </c>
      <c r="H4" s="1">
        <f t="shared" si="0"/>
        <v>30.5</v>
      </c>
      <c r="I4" s="40"/>
      <c r="J4" s="2">
        <v>270</v>
      </c>
      <c r="K4" s="11">
        <v>2</v>
      </c>
      <c r="L4" s="11">
        <v>341</v>
      </c>
      <c r="M4" s="11">
        <v>0</v>
      </c>
      <c r="N4" s="11"/>
      <c r="O4" s="46"/>
      <c r="P4" s="38">
        <f t="shared" si="1"/>
        <v>0.011362164732916895</v>
      </c>
      <c r="Q4" s="38">
        <f t="shared" si="2"/>
        <v>0.03299812241128176</v>
      </c>
      <c r="R4" s="38">
        <f t="shared" si="3"/>
        <v>0.9449425912301185</v>
      </c>
      <c r="S4" s="12">
        <f t="shared" si="4"/>
        <v>70.99999999999994</v>
      </c>
      <c r="T4" s="12">
        <f t="shared" si="5"/>
        <v>87.8848604624446</v>
      </c>
      <c r="U4" s="22">
        <f t="shared" si="6"/>
        <v>250.99999999999994</v>
      </c>
      <c r="V4" s="12">
        <f t="shared" si="7"/>
        <v>160.99999999999994</v>
      </c>
      <c r="W4" s="23">
        <f t="shared" si="8"/>
        <v>2.115139537555393</v>
      </c>
      <c r="X4" s="65"/>
      <c r="Y4" s="66"/>
      <c r="Z4" s="27"/>
      <c r="AA4" s="2"/>
      <c r="AB4" s="1"/>
      <c r="AC4" s="83">
        <v>320.7</v>
      </c>
      <c r="AD4" s="84">
        <v>60</v>
      </c>
      <c r="AE4" s="22">
        <f t="shared" si="9"/>
        <v>290.29999999999995</v>
      </c>
      <c r="AF4" s="12">
        <f t="shared" si="10"/>
        <v>200.29999999999995</v>
      </c>
      <c r="AG4" s="12">
        <f t="shared" si="11"/>
        <v>2.115139537555393</v>
      </c>
      <c r="AH4" s="48"/>
      <c r="AI4" s="27"/>
    </row>
    <row r="5" spans="1:35" ht="12.75" customHeight="1">
      <c r="A5" s="89">
        <f>H5/100+0.81</f>
        <v>1.5150000000000001</v>
      </c>
      <c r="B5" s="90" t="s">
        <v>47</v>
      </c>
      <c r="C5" s="1" t="s">
        <v>45</v>
      </c>
      <c r="D5" s="1">
        <v>3</v>
      </c>
      <c r="E5" s="2" t="s">
        <v>44</v>
      </c>
      <c r="F5" s="15">
        <v>70</v>
      </c>
      <c r="G5" s="17">
        <v>71</v>
      </c>
      <c r="H5" s="1">
        <f t="shared" si="0"/>
        <v>70.5</v>
      </c>
      <c r="I5" s="40"/>
      <c r="J5" s="2">
        <v>90</v>
      </c>
      <c r="K5" s="11">
        <v>1</v>
      </c>
      <c r="L5" s="11">
        <v>72</v>
      </c>
      <c r="M5" s="11">
        <v>0</v>
      </c>
      <c r="N5" s="11"/>
      <c r="O5" s="46"/>
      <c r="P5" s="38">
        <f t="shared" si="1"/>
        <v>-0.01659822486720997</v>
      </c>
      <c r="Q5" s="38">
        <f t="shared" si="2"/>
        <v>0.0053930901818593354</v>
      </c>
      <c r="R5" s="38">
        <f t="shared" si="3"/>
        <v>-0.3089699295899467</v>
      </c>
      <c r="S5" s="62">
        <f t="shared" si="4"/>
        <v>162</v>
      </c>
      <c r="T5" s="12">
        <f t="shared" si="5"/>
        <v>-86.76703888246432</v>
      </c>
      <c r="U5" s="22">
        <f t="shared" si="6"/>
        <v>162</v>
      </c>
      <c r="V5" s="12">
        <f t="shared" si="7"/>
        <v>72</v>
      </c>
      <c r="W5" s="23">
        <f t="shared" si="8"/>
        <v>3.2329611175356803</v>
      </c>
      <c r="X5" s="65"/>
      <c r="Y5" s="66"/>
      <c r="Z5" s="27"/>
      <c r="AA5" s="2"/>
      <c r="AB5" s="1"/>
      <c r="AC5" s="83">
        <v>320.7</v>
      </c>
      <c r="AD5" s="84">
        <v>60</v>
      </c>
      <c r="AE5" s="22">
        <f t="shared" si="9"/>
        <v>201.3</v>
      </c>
      <c r="AF5" s="12">
        <f t="shared" si="10"/>
        <v>111.30000000000001</v>
      </c>
      <c r="AG5" s="12">
        <f t="shared" si="11"/>
        <v>3.2329611175356803</v>
      </c>
      <c r="AH5" s="48"/>
      <c r="AI5" s="27"/>
    </row>
    <row r="6" spans="1:35" ht="12.75" customHeight="1">
      <c r="A6" s="89">
        <f>H6/100+3.5</f>
        <v>3.725</v>
      </c>
      <c r="B6" s="90" t="s">
        <v>47</v>
      </c>
      <c r="C6" s="1" t="s">
        <v>48</v>
      </c>
      <c r="D6" s="1">
        <v>1</v>
      </c>
      <c r="E6" s="2" t="s">
        <v>44</v>
      </c>
      <c r="F6" s="15">
        <v>22</v>
      </c>
      <c r="G6" s="17">
        <v>23</v>
      </c>
      <c r="H6" s="1">
        <f t="shared" si="0"/>
        <v>22.5</v>
      </c>
      <c r="I6" s="40"/>
      <c r="J6" s="2">
        <v>270</v>
      </c>
      <c r="K6" s="11">
        <v>9</v>
      </c>
      <c r="L6" s="11">
        <v>12</v>
      </c>
      <c r="M6" s="11">
        <v>0</v>
      </c>
      <c r="N6" s="11"/>
      <c r="O6" s="46"/>
      <c r="P6" s="38">
        <f t="shared" si="1"/>
        <v>-0.03252455412868606</v>
      </c>
      <c r="Q6" s="38">
        <f t="shared" si="2"/>
        <v>0.15301599665117824</v>
      </c>
      <c r="R6" s="38">
        <f t="shared" si="3"/>
        <v>0.9661049806258879</v>
      </c>
      <c r="S6" s="62">
        <f t="shared" si="4"/>
        <v>102</v>
      </c>
      <c r="T6" s="12">
        <f t="shared" si="5"/>
        <v>80.8023346066126</v>
      </c>
      <c r="U6" s="22">
        <f t="shared" si="6"/>
        <v>282</v>
      </c>
      <c r="V6" s="12">
        <f t="shared" si="7"/>
        <v>192</v>
      </c>
      <c r="W6" s="23">
        <f t="shared" si="8"/>
        <v>9.197665393387396</v>
      </c>
      <c r="X6" s="65"/>
      <c r="Y6" s="66"/>
      <c r="Z6" s="27"/>
      <c r="AA6" s="2"/>
      <c r="AB6" s="1"/>
      <c r="AC6" s="83">
        <v>293.3</v>
      </c>
      <c r="AD6" s="84">
        <v>57.3</v>
      </c>
      <c r="AE6" s="22">
        <f t="shared" si="9"/>
        <v>348.7</v>
      </c>
      <c r="AF6" s="12">
        <f t="shared" si="10"/>
        <v>258.7</v>
      </c>
      <c r="AG6" s="12">
        <f t="shared" si="11"/>
        <v>9.197665393387396</v>
      </c>
      <c r="AH6" s="48"/>
      <c r="AI6" s="27"/>
    </row>
    <row r="7" spans="1:35" ht="12.75" customHeight="1">
      <c r="A7" s="89">
        <f>H7/100+3.5</f>
        <v>3.8</v>
      </c>
      <c r="B7" s="90" t="s">
        <v>47</v>
      </c>
      <c r="C7" s="1" t="s">
        <v>48</v>
      </c>
      <c r="D7" s="1">
        <v>1</v>
      </c>
      <c r="E7" s="2" t="s">
        <v>44</v>
      </c>
      <c r="F7" s="15">
        <v>29</v>
      </c>
      <c r="G7" s="17">
        <v>31</v>
      </c>
      <c r="H7" s="1">
        <f t="shared" si="0"/>
        <v>30</v>
      </c>
      <c r="I7" s="40"/>
      <c r="J7" s="2">
        <v>270</v>
      </c>
      <c r="K7" s="11">
        <v>13</v>
      </c>
      <c r="L7" s="11">
        <v>22</v>
      </c>
      <c r="M7" s="11">
        <v>0</v>
      </c>
      <c r="N7" s="11"/>
      <c r="O7" s="46"/>
      <c r="P7" s="38">
        <f t="shared" si="1"/>
        <v>-0.08426814815307297</v>
      </c>
      <c r="Q7" s="38">
        <f t="shared" si="2"/>
        <v>0.20857098565540763</v>
      </c>
      <c r="R7" s="38">
        <f t="shared" si="3"/>
        <v>0.9034201924420647</v>
      </c>
      <c r="S7" s="62">
        <f t="shared" si="4"/>
        <v>112</v>
      </c>
      <c r="T7" s="12">
        <f t="shared" si="5"/>
        <v>76.01772889992574</v>
      </c>
      <c r="U7" s="22">
        <f t="shared" si="6"/>
        <v>292</v>
      </c>
      <c r="V7" s="12">
        <f t="shared" si="7"/>
        <v>202</v>
      </c>
      <c r="W7" s="23">
        <f t="shared" si="8"/>
        <v>13.982271100074257</v>
      </c>
      <c r="X7" s="65"/>
      <c r="Y7" s="66"/>
      <c r="Z7" s="27"/>
      <c r="AA7" s="2"/>
      <c r="AB7" s="11"/>
      <c r="AC7" s="83">
        <v>293.3</v>
      </c>
      <c r="AD7" s="84">
        <v>57.3</v>
      </c>
      <c r="AE7" s="22">
        <f t="shared" si="9"/>
        <v>358.7</v>
      </c>
      <c r="AF7" s="12">
        <f t="shared" si="10"/>
        <v>268.7</v>
      </c>
      <c r="AG7" s="12">
        <f t="shared" si="11"/>
        <v>13.982271100074257</v>
      </c>
      <c r="AH7" s="48"/>
      <c r="AI7" s="27"/>
    </row>
    <row r="8" spans="1:35" ht="12.75" customHeight="1">
      <c r="A8" s="89">
        <f>H8/100+3.5</f>
        <v>3.8449999999999998</v>
      </c>
      <c r="B8" s="90" t="s">
        <v>47</v>
      </c>
      <c r="C8" s="1" t="s">
        <v>48</v>
      </c>
      <c r="D8" s="1">
        <v>1</v>
      </c>
      <c r="E8" s="2" t="s">
        <v>44</v>
      </c>
      <c r="F8" s="15">
        <v>34</v>
      </c>
      <c r="G8" s="17">
        <v>35</v>
      </c>
      <c r="H8" s="1">
        <f t="shared" si="0"/>
        <v>34.5</v>
      </c>
      <c r="I8" s="40"/>
      <c r="J8" s="2">
        <v>270</v>
      </c>
      <c r="K8" s="11">
        <v>10</v>
      </c>
      <c r="L8" s="11">
        <v>165</v>
      </c>
      <c r="M8" s="11">
        <v>0</v>
      </c>
      <c r="N8" s="11"/>
      <c r="O8" s="46"/>
      <c r="P8" s="38">
        <f t="shared" si="1"/>
        <v>-0.044943455527547825</v>
      </c>
      <c r="Q8" s="38">
        <f t="shared" si="2"/>
        <v>-0.1677312594965206</v>
      </c>
      <c r="R8" s="38">
        <f t="shared" si="3"/>
        <v>-0.9512512425641976</v>
      </c>
      <c r="S8" s="62">
        <f t="shared" si="4"/>
        <v>255</v>
      </c>
      <c r="T8" s="12">
        <f t="shared" si="5"/>
        <v>-79.65472995385008</v>
      </c>
      <c r="U8" s="22">
        <f t="shared" si="6"/>
        <v>255</v>
      </c>
      <c r="V8" s="12">
        <f t="shared" si="7"/>
        <v>165</v>
      </c>
      <c r="W8" s="23">
        <f t="shared" si="8"/>
        <v>10.34527004614992</v>
      </c>
      <c r="X8" s="65"/>
      <c r="Y8" s="66"/>
      <c r="Z8" s="27"/>
      <c r="AA8" s="2"/>
      <c r="AB8" s="11"/>
      <c r="AC8" s="83">
        <v>293.3</v>
      </c>
      <c r="AD8" s="84">
        <v>57.3</v>
      </c>
      <c r="AE8" s="22">
        <f t="shared" si="9"/>
        <v>321.7</v>
      </c>
      <c r="AF8" s="12">
        <f t="shared" si="10"/>
        <v>231.7</v>
      </c>
      <c r="AG8" s="12">
        <f t="shared" si="11"/>
        <v>10.34527004614992</v>
      </c>
      <c r="AH8" s="48"/>
      <c r="AI8" s="27"/>
    </row>
    <row r="9" spans="1:35" ht="12.75" customHeight="1">
      <c r="A9" s="89">
        <f>H9/100+3.5</f>
        <v>4.155</v>
      </c>
      <c r="B9" s="90" t="s">
        <v>47</v>
      </c>
      <c r="C9" s="1" t="s">
        <v>48</v>
      </c>
      <c r="D9" s="1">
        <v>1</v>
      </c>
      <c r="E9" s="2" t="s">
        <v>44</v>
      </c>
      <c r="F9" s="15">
        <v>65</v>
      </c>
      <c r="G9" s="17">
        <v>66</v>
      </c>
      <c r="H9" s="1">
        <f t="shared" si="0"/>
        <v>65.5</v>
      </c>
      <c r="I9" s="40"/>
      <c r="J9" s="2">
        <v>270</v>
      </c>
      <c r="K9" s="11">
        <v>8</v>
      </c>
      <c r="L9" s="11">
        <v>0</v>
      </c>
      <c r="M9" s="11">
        <v>3</v>
      </c>
      <c r="N9" s="11"/>
      <c r="O9" s="46"/>
      <c r="P9" s="38">
        <f t="shared" si="1"/>
        <v>-0.05182662631444332</v>
      </c>
      <c r="Q9" s="38">
        <f t="shared" si="2"/>
        <v>0.13898236906210149</v>
      </c>
      <c r="R9" s="38">
        <f t="shared" si="3"/>
        <v>0.9889109407697048</v>
      </c>
      <c r="S9" s="62">
        <f t="shared" si="4"/>
        <v>110.45052195012669</v>
      </c>
      <c r="T9" s="12">
        <f t="shared" si="5"/>
        <v>81.46955163874233</v>
      </c>
      <c r="U9" s="22">
        <f t="shared" si="6"/>
        <v>290.4505219501267</v>
      </c>
      <c r="V9" s="12">
        <f t="shared" si="7"/>
        <v>200.4505219501267</v>
      </c>
      <c r="W9" s="23">
        <f t="shared" si="8"/>
        <v>8.530448361257669</v>
      </c>
      <c r="X9" s="65"/>
      <c r="Y9" s="66"/>
      <c r="Z9" s="27"/>
      <c r="AA9" s="2"/>
      <c r="AB9" s="11"/>
      <c r="AC9" s="83">
        <v>293.3</v>
      </c>
      <c r="AD9" s="84">
        <v>57.3</v>
      </c>
      <c r="AE9" s="22">
        <f t="shared" si="9"/>
        <v>357.1505219501267</v>
      </c>
      <c r="AF9" s="12">
        <f t="shared" si="10"/>
        <v>267.1505219501267</v>
      </c>
      <c r="AG9" s="12">
        <f t="shared" si="11"/>
        <v>8.530448361257669</v>
      </c>
      <c r="AH9" s="48"/>
      <c r="AI9" s="27"/>
    </row>
    <row r="10" spans="1:35" ht="12.75" customHeight="1">
      <c r="A10" s="89">
        <f>H10/100+3.5</f>
        <v>4.3</v>
      </c>
      <c r="B10" s="90" t="s">
        <v>47</v>
      </c>
      <c r="C10" s="1" t="s">
        <v>48</v>
      </c>
      <c r="D10" s="1">
        <v>1</v>
      </c>
      <c r="E10" s="2" t="s">
        <v>44</v>
      </c>
      <c r="F10" s="15">
        <v>79</v>
      </c>
      <c r="G10" s="17">
        <v>81</v>
      </c>
      <c r="H10" s="1">
        <f t="shared" si="0"/>
        <v>80</v>
      </c>
      <c r="I10" s="40"/>
      <c r="J10" s="2">
        <v>270</v>
      </c>
      <c r="K10" s="11">
        <v>9</v>
      </c>
      <c r="L10" s="11">
        <v>3</v>
      </c>
      <c r="M10" s="11">
        <v>0</v>
      </c>
      <c r="N10" s="11"/>
      <c r="O10" s="46"/>
      <c r="P10" s="38">
        <f t="shared" si="1"/>
        <v>-0.008187147317233849</v>
      </c>
      <c r="Q10" s="38">
        <f t="shared" si="2"/>
        <v>0.1562200770427064</v>
      </c>
      <c r="R10" s="38">
        <f t="shared" si="3"/>
        <v>0.9863347480510395</v>
      </c>
      <c r="S10" s="62">
        <f t="shared" si="4"/>
        <v>92.99999999999999</v>
      </c>
      <c r="T10" s="12">
        <f t="shared" si="5"/>
        <v>80.98785146163557</v>
      </c>
      <c r="U10" s="22">
        <f t="shared" si="6"/>
        <v>273</v>
      </c>
      <c r="V10" s="12">
        <f t="shared" si="7"/>
        <v>183</v>
      </c>
      <c r="W10" s="23">
        <f t="shared" si="8"/>
        <v>9.012148538364428</v>
      </c>
      <c r="X10" s="65"/>
      <c r="Y10" s="66"/>
      <c r="Z10" s="27"/>
      <c r="AA10" s="2"/>
      <c r="AB10" s="11"/>
      <c r="AC10" s="83">
        <v>293.3</v>
      </c>
      <c r="AD10" s="84">
        <v>57.3</v>
      </c>
      <c r="AE10" s="22">
        <f t="shared" si="9"/>
        <v>339.7</v>
      </c>
      <c r="AF10" s="12">
        <f t="shared" si="10"/>
        <v>249.7</v>
      </c>
      <c r="AG10" s="12">
        <f t="shared" si="11"/>
        <v>9.012148538364428</v>
      </c>
      <c r="AH10" s="48"/>
      <c r="AI10" s="27"/>
    </row>
    <row r="11" spans="1:35" ht="12.75" customHeight="1">
      <c r="A11" s="89">
        <f>H11/100+4.835</f>
        <v>4.97</v>
      </c>
      <c r="B11" s="90" t="s">
        <v>47</v>
      </c>
      <c r="C11" s="1" t="s">
        <v>48</v>
      </c>
      <c r="D11" s="1">
        <v>3</v>
      </c>
      <c r="E11" s="2" t="s">
        <v>44</v>
      </c>
      <c r="F11" s="15">
        <v>13</v>
      </c>
      <c r="G11" s="17">
        <v>14</v>
      </c>
      <c r="H11" s="1">
        <f t="shared" si="0"/>
        <v>13.5</v>
      </c>
      <c r="I11" s="40"/>
      <c r="J11" s="2">
        <v>270</v>
      </c>
      <c r="K11" s="11">
        <v>4</v>
      </c>
      <c r="L11" s="11">
        <v>13</v>
      </c>
      <c r="M11" s="11">
        <v>0</v>
      </c>
      <c r="N11" s="11"/>
      <c r="O11" s="46"/>
      <c r="P11" s="38">
        <f t="shared" si="1"/>
        <v>-0.015691792316051122</v>
      </c>
      <c r="Q11" s="38">
        <f t="shared" si="2"/>
        <v>0.06796861984125294</v>
      </c>
      <c r="R11" s="38">
        <f t="shared" si="3"/>
        <v>0.9719965482790865</v>
      </c>
      <c r="S11" s="62">
        <f t="shared" si="4"/>
        <v>102.99999999999999</v>
      </c>
      <c r="T11" s="12">
        <f t="shared" si="5"/>
        <v>85.89513864929042</v>
      </c>
      <c r="U11" s="22">
        <f t="shared" si="6"/>
        <v>283</v>
      </c>
      <c r="V11" s="12">
        <f t="shared" si="7"/>
        <v>193</v>
      </c>
      <c r="W11" s="23">
        <f t="shared" si="8"/>
        <v>4.104861350709584</v>
      </c>
      <c r="X11" s="65"/>
      <c r="Y11" s="66"/>
      <c r="Z11" s="27"/>
      <c r="AA11" s="2"/>
      <c r="AB11" s="11"/>
      <c r="AC11" s="83">
        <v>293.3</v>
      </c>
      <c r="AD11" s="84">
        <v>57.3</v>
      </c>
      <c r="AE11" s="22">
        <f t="shared" si="9"/>
        <v>349.7</v>
      </c>
      <c r="AF11" s="12">
        <f t="shared" si="10"/>
        <v>259.7</v>
      </c>
      <c r="AG11" s="12">
        <f t="shared" si="11"/>
        <v>4.104861350709584</v>
      </c>
      <c r="AH11" s="48"/>
      <c r="AI11" s="27"/>
    </row>
    <row r="12" spans="1:35" ht="12.75" customHeight="1">
      <c r="A12" s="89">
        <f>H12/100+6.199</f>
        <v>6.639</v>
      </c>
      <c r="B12" s="90" t="s">
        <v>47</v>
      </c>
      <c r="C12" s="1" t="s">
        <v>48</v>
      </c>
      <c r="D12" s="1">
        <v>4</v>
      </c>
      <c r="E12" s="2" t="s">
        <v>44</v>
      </c>
      <c r="F12" s="15">
        <v>44</v>
      </c>
      <c r="G12" s="17">
        <v>44</v>
      </c>
      <c r="H12" s="1">
        <f t="shared" si="0"/>
        <v>44</v>
      </c>
      <c r="I12" s="40"/>
      <c r="J12" s="2">
        <v>90</v>
      </c>
      <c r="K12" s="11">
        <v>3</v>
      </c>
      <c r="L12" s="11">
        <v>8</v>
      </c>
      <c r="M12" s="11">
        <v>0</v>
      </c>
      <c r="N12" s="11"/>
      <c r="O12" s="46"/>
      <c r="P12" s="38">
        <f t="shared" si="1"/>
        <v>-0.007283757322040788</v>
      </c>
      <c r="Q12" s="38">
        <f t="shared" si="2"/>
        <v>0.05182662631444332</v>
      </c>
      <c r="R12" s="38">
        <f t="shared" si="3"/>
        <v>-0.9889109407697048</v>
      </c>
      <c r="S12" s="62">
        <f t="shared" si="4"/>
        <v>98</v>
      </c>
      <c r="T12" s="12">
        <f t="shared" si="5"/>
        <v>-86.97057193334116</v>
      </c>
      <c r="U12" s="22">
        <f t="shared" si="6"/>
        <v>98</v>
      </c>
      <c r="V12" s="12">
        <f t="shared" si="7"/>
        <v>8</v>
      </c>
      <c r="W12" s="23">
        <f t="shared" si="8"/>
        <v>3.029428066658838</v>
      </c>
      <c r="X12" s="65"/>
      <c r="Y12" s="66"/>
      <c r="Z12" s="27"/>
      <c r="AA12" s="2"/>
      <c r="AB12" s="1"/>
      <c r="AC12" s="83">
        <v>293.3</v>
      </c>
      <c r="AD12" s="84">
        <v>57.3</v>
      </c>
      <c r="AE12" s="22">
        <f t="shared" si="9"/>
        <v>164.7</v>
      </c>
      <c r="AF12" s="12">
        <f t="shared" si="10"/>
        <v>74.69999999999999</v>
      </c>
      <c r="AG12" s="12">
        <f t="shared" si="11"/>
        <v>3.029428066658838</v>
      </c>
      <c r="AH12" s="48"/>
      <c r="AI12" s="27"/>
    </row>
    <row r="13" spans="1:35" ht="12.75" customHeight="1">
      <c r="A13" s="89">
        <f>H13/100+6.199</f>
        <v>6.869</v>
      </c>
      <c r="B13" s="90" t="s">
        <v>47</v>
      </c>
      <c r="C13" s="1" t="s">
        <v>48</v>
      </c>
      <c r="D13" s="1">
        <v>4</v>
      </c>
      <c r="E13" s="2" t="s">
        <v>44</v>
      </c>
      <c r="F13" s="15">
        <v>66</v>
      </c>
      <c r="G13" s="17">
        <v>68</v>
      </c>
      <c r="H13" s="1">
        <f t="shared" si="0"/>
        <v>67</v>
      </c>
      <c r="I13" s="40"/>
      <c r="J13" s="2">
        <v>270</v>
      </c>
      <c r="K13" s="11">
        <v>14</v>
      </c>
      <c r="L13" s="11">
        <v>342</v>
      </c>
      <c r="M13" s="11">
        <v>0</v>
      </c>
      <c r="N13" s="11"/>
      <c r="O13" s="46"/>
      <c r="P13" s="38">
        <f t="shared" si="1"/>
        <v>0.07475797705169919</v>
      </c>
      <c r="Q13" s="38">
        <f t="shared" si="2"/>
        <v>0.23008139524453983</v>
      </c>
      <c r="R13" s="38">
        <f t="shared" si="3"/>
        <v>0.922806073208125</v>
      </c>
      <c r="S13" s="62">
        <f t="shared" si="4"/>
        <v>71.99999999999999</v>
      </c>
      <c r="T13" s="12">
        <f t="shared" si="5"/>
        <v>75.30997726095897</v>
      </c>
      <c r="U13" s="22">
        <f t="shared" si="6"/>
        <v>252</v>
      </c>
      <c r="V13" s="12">
        <f t="shared" si="7"/>
        <v>162</v>
      </c>
      <c r="W13" s="23">
        <f t="shared" si="8"/>
        <v>14.690022739041027</v>
      </c>
      <c r="X13" s="65"/>
      <c r="Y13" s="66"/>
      <c r="Z13" s="27"/>
      <c r="AA13" s="2"/>
      <c r="AB13" s="1"/>
      <c r="AC13" s="83">
        <v>293.3</v>
      </c>
      <c r="AD13" s="84">
        <v>57.3</v>
      </c>
      <c r="AE13" s="22">
        <f t="shared" si="9"/>
        <v>318.7</v>
      </c>
      <c r="AF13" s="12">
        <f t="shared" si="10"/>
        <v>228.7</v>
      </c>
      <c r="AG13" s="12">
        <f t="shared" si="11"/>
        <v>14.690022739041027</v>
      </c>
      <c r="AH13" s="48"/>
      <c r="AI13" s="27"/>
    </row>
    <row r="14" spans="1:35" ht="12.75" customHeight="1">
      <c r="A14" s="89">
        <f>H14/100+6.199</f>
        <v>6.954</v>
      </c>
      <c r="B14" s="90" t="s">
        <v>47</v>
      </c>
      <c r="C14" s="1" t="s">
        <v>48</v>
      </c>
      <c r="D14" s="1">
        <v>4</v>
      </c>
      <c r="E14" s="2" t="s">
        <v>44</v>
      </c>
      <c r="F14" s="15">
        <v>75</v>
      </c>
      <c r="G14" s="17">
        <v>76</v>
      </c>
      <c r="H14" s="1">
        <f t="shared" si="0"/>
        <v>75.5</v>
      </c>
      <c r="I14" s="40"/>
      <c r="J14" s="2">
        <v>270</v>
      </c>
      <c r="K14" s="11">
        <v>4</v>
      </c>
      <c r="L14" s="11">
        <v>16</v>
      </c>
      <c r="M14" s="11">
        <v>0</v>
      </c>
      <c r="N14" s="11"/>
      <c r="O14" s="46"/>
      <c r="P14" s="38">
        <f t="shared" si="1"/>
        <v>-0.019227489973948627</v>
      </c>
      <c r="Q14" s="38">
        <f t="shared" si="2"/>
        <v>0.0670542262539547</v>
      </c>
      <c r="R14" s="38">
        <f t="shared" si="3"/>
        <v>0.958920110759857</v>
      </c>
      <c r="S14" s="62">
        <f t="shared" si="4"/>
        <v>106</v>
      </c>
      <c r="T14" s="12">
        <f t="shared" si="5"/>
        <v>85.83935744072684</v>
      </c>
      <c r="U14" s="22">
        <f t="shared" si="6"/>
        <v>286</v>
      </c>
      <c r="V14" s="12">
        <f t="shared" si="7"/>
        <v>196</v>
      </c>
      <c r="W14" s="23">
        <f t="shared" si="8"/>
        <v>4.160642559273157</v>
      </c>
      <c r="X14" s="65"/>
      <c r="Y14" s="66"/>
      <c r="Z14" s="27"/>
      <c r="AA14" s="2"/>
      <c r="AB14" s="1"/>
      <c r="AC14" s="83">
        <v>293.3</v>
      </c>
      <c r="AD14" s="84">
        <v>57.3</v>
      </c>
      <c r="AE14" s="22">
        <f t="shared" si="9"/>
        <v>352.7</v>
      </c>
      <c r="AF14" s="12">
        <f t="shared" si="10"/>
        <v>262.7</v>
      </c>
      <c r="AG14" s="12">
        <f t="shared" si="11"/>
        <v>4.160642559273157</v>
      </c>
      <c r="AH14" s="48"/>
      <c r="AI14" s="27"/>
    </row>
    <row r="15" spans="1:35" ht="12.75" customHeight="1">
      <c r="A15" s="89">
        <f>H15/100+6.199</f>
        <v>7.144</v>
      </c>
      <c r="B15" s="90" t="s">
        <v>47</v>
      </c>
      <c r="C15" s="1" t="s">
        <v>48</v>
      </c>
      <c r="D15" s="1">
        <v>4</v>
      </c>
      <c r="E15" s="2" t="s">
        <v>44</v>
      </c>
      <c r="F15" s="15">
        <v>94</v>
      </c>
      <c r="G15" s="17">
        <v>95</v>
      </c>
      <c r="H15" s="1">
        <f t="shared" si="0"/>
        <v>94.5</v>
      </c>
      <c r="I15" s="40"/>
      <c r="J15" s="2">
        <v>270</v>
      </c>
      <c r="K15" s="11">
        <v>3</v>
      </c>
      <c r="L15" s="11">
        <v>8</v>
      </c>
      <c r="M15" s="11">
        <v>0</v>
      </c>
      <c r="N15" s="11"/>
      <c r="O15" s="46"/>
      <c r="P15" s="38">
        <f t="shared" si="1"/>
        <v>-0.007283757322040788</v>
      </c>
      <c r="Q15" s="38">
        <f t="shared" si="2"/>
        <v>0.05182662631444332</v>
      </c>
      <c r="R15" s="38">
        <f t="shared" si="3"/>
        <v>0.9889109407697048</v>
      </c>
      <c r="S15" s="62">
        <f t="shared" si="4"/>
        <v>98</v>
      </c>
      <c r="T15" s="12">
        <f t="shared" si="5"/>
        <v>86.97057193334116</v>
      </c>
      <c r="U15" s="22">
        <f t="shared" si="6"/>
        <v>278</v>
      </c>
      <c r="V15" s="12">
        <f t="shared" si="7"/>
        <v>188</v>
      </c>
      <c r="W15" s="23">
        <f t="shared" si="8"/>
        <v>3.029428066658838</v>
      </c>
      <c r="X15" s="65"/>
      <c r="Y15" s="66"/>
      <c r="Z15" s="27"/>
      <c r="AA15" s="2"/>
      <c r="AB15" s="1"/>
      <c r="AC15" s="83">
        <v>293.3</v>
      </c>
      <c r="AD15" s="84">
        <v>57.3</v>
      </c>
      <c r="AE15" s="22">
        <f t="shared" si="9"/>
        <v>344.7</v>
      </c>
      <c r="AF15" s="12">
        <f t="shared" si="10"/>
        <v>254.7</v>
      </c>
      <c r="AG15" s="12">
        <f t="shared" si="11"/>
        <v>3.029428066658838</v>
      </c>
      <c r="AH15" s="48"/>
      <c r="AI15" s="27"/>
    </row>
    <row r="16" spans="1:35" ht="12.75" customHeight="1">
      <c r="A16" s="89">
        <f>H16/100+7.568</f>
        <v>8.238</v>
      </c>
      <c r="B16" s="90" t="s">
        <v>47</v>
      </c>
      <c r="C16" s="1" t="s">
        <v>48</v>
      </c>
      <c r="D16" s="1">
        <v>6</v>
      </c>
      <c r="E16" s="2" t="s">
        <v>44</v>
      </c>
      <c r="F16" s="15">
        <v>66</v>
      </c>
      <c r="G16" s="17">
        <v>68</v>
      </c>
      <c r="H16" s="1">
        <f t="shared" si="0"/>
        <v>67</v>
      </c>
      <c r="I16" s="40"/>
      <c r="J16" s="2">
        <v>270</v>
      </c>
      <c r="K16" s="11">
        <v>14</v>
      </c>
      <c r="L16" s="11">
        <v>342</v>
      </c>
      <c r="M16" s="11">
        <v>0</v>
      </c>
      <c r="N16" s="11"/>
      <c r="O16" s="46"/>
      <c r="P16" s="38">
        <f t="shared" si="1"/>
        <v>0.07475797705169919</v>
      </c>
      <c r="Q16" s="38">
        <f t="shared" si="2"/>
        <v>0.23008139524453983</v>
      </c>
      <c r="R16" s="38">
        <f t="shared" si="3"/>
        <v>0.922806073208125</v>
      </c>
      <c r="S16" s="62">
        <f t="shared" si="4"/>
        <v>71.99999999999999</v>
      </c>
      <c r="T16" s="12">
        <f t="shared" si="5"/>
        <v>75.30997726095897</v>
      </c>
      <c r="U16" s="22">
        <f t="shared" si="6"/>
        <v>252</v>
      </c>
      <c r="V16" s="12">
        <f t="shared" si="7"/>
        <v>162</v>
      </c>
      <c r="W16" s="23">
        <f t="shared" si="8"/>
        <v>14.690022739041027</v>
      </c>
      <c r="X16" s="65"/>
      <c r="Y16" s="66"/>
      <c r="Z16" s="27"/>
      <c r="AA16" s="2"/>
      <c r="AB16" s="1"/>
      <c r="AC16" s="83">
        <v>293.3</v>
      </c>
      <c r="AD16" s="84">
        <v>57.3</v>
      </c>
      <c r="AE16" s="22">
        <f t="shared" si="9"/>
        <v>318.7</v>
      </c>
      <c r="AF16" s="12">
        <f t="shared" si="10"/>
        <v>228.7</v>
      </c>
      <c r="AG16" s="12">
        <f t="shared" si="11"/>
        <v>14.690022739041027</v>
      </c>
      <c r="AH16" s="48"/>
      <c r="AI16" s="27"/>
    </row>
    <row r="17" spans="1:35" ht="12.75" customHeight="1">
      <c r="A17" s="89">
        <f>H17/100+8.922</f>
        <v>8.967</v>
      </c>
      <c r="B17" s="90" t="s">
        <v>47</v>
      </c>
      <c r="C17" s="1" t="s">
        <v>48</v>
      </c>
      <c r="D17" s="1">
        <v>7</v>
      </c>
      <c r="E17" s="2" t="s">
        <v>44</v>
      </c>
      <c r="F17" s="15">
        <v>4</v>
      </c>
      <c r="G17" s="17">
        <v>5</v>
      </c>
      <c r="H17" s="1">
        <f t="shared" si="0"/>
        <v>4.5</v>
      </c>
      <c r="I17" s="40"/>
      <c r="J17" s="2">
        <v>270</v>
      </c>
      <c r="K17" s="11">
        <v>1</v>
      </c>
      <c r="L17" s="11">
        <v>318</v>
      </c>
      <c r="M17" s="11">
        <v>0</v>
      </c>
      <c r="N17" s="11"/>
      <c r="O17" s="46"/>
      <c r="P17" s="38">
        <f t="shared" si="1"/>
        <v>0.011677939301800755</v>
      </c>
      <c r="Q17" s="38">
        <f t="shared" si="2"/>
        <v>0.012969665535995607</v>
      </c>
      <c r="R17" s="38">
        <f t="shared" si="3"/>
        <v>0.7430316409209714</v>
      </c>
      <c r="S17" s="62">
        <f t="shared" si="4"/>
        <v>48</v>
      </c>
      <c r="T17" s="12">
        <f t="shared" si="5"/>
        <v>88.65447802048558</v>
      </c>
      <c r="U17" s="22">
        <f t="shared" si="6"/>
        <v>228</v>
      </c>
      <c r="V17" s="12">
        <f t="shared" si="7"/>
        <v>138</v>
      </c>
      <c r="W17" s="23">
        <f t="shared" si="8"/>
        <v>1.345521979514416</v>
      </c>
      <c r="X17" s="65"/>
      <c r="Y17" s="66"/>
      <c r="Z17" s="27"/>
      <c r="AA17" s="2"/>
      <c r="AB17" s="1"/>
      <c r="AC17" s="83">
        <v>293.3</v>
      </c>
      <c r="AD17" s="84">
        <v>57.3</v>
      </c>
      <c r="AE17" s="22">
        <f t="shared" si="9"/>
        <v>294.7</v>
      </c>
      <c r="AF17" s="12">
        <f t="shared" si="10"/>
        <v>204.7</v>
      </c>
      <c r="AG17" s="12">
        <f t="shared" si="11"/>
        <v>1.345521979514416</v>
      </c>
      <c r="AH17" s="48"/>
      <c r="AI17" s="27"/>
    </row>
    <row r="18" spans="1:35" ht="12.75" customHeight="1">
      <c r="A18" s="89">
        <f>H18/100+8.922</f>
        <v>9.037</v>
      </c>
      <c r="B18" s="90" t="s">
        <v>47</v>
      </c>
      <c r="C18" s="1" t="s">
        <v>48</v>
      </c>
      <c r="D18" s="1">
        <v>7</v>
      </c>
      <c r="E18" s="2" t="s">
        <v>44</v>
      </c>
      <c r="F18" s="15">
        <v>11</v>
      </c>
      <c r="G18" s="17">
        <v>12</v>
      </c>
      <c r="H18" s="1">
        <f t="shared" si="0"/>
        <v>11.5</v>
      </c>
      <c r="I18" s="40"/>
      <c r="J18" s="2">
        <v>270</v>
      </c>
      <c r="K18" s="11">
        <v>9</v>
      </c>
      <c r="L18" s="11">
        <v>332</v>
      </c>
      <c r="M18" s="11">
        <v>0</v>
      </c>
      <c r="N18" s="11"/>
      <c r="O18" s="46"/>
      <c r="P18" s="38">
        <f t="shared" si="1"/>
        <v>0.07344153277601198</v>
      </c>
      <c r="Q18" s="38">
        <f t="shared" si="2"/>
        <v>0.13812343434744578</v>
      </c>
      <c r="R18" s="38">
        <f t="shared" si="3"/>
        <v>0.8720770428233049</v>
      </c>
      <c r="S18" s="62">
        <f t="shared" si="4"/>
        <v>62</v>
      </c>
      <c r="T18" s="12">
        <f t="shared" si="5"/>
        <v>79.830356741059</v>
      </c>
      <c r="U18" s="22">
        <f t="shared" si="6"/>
        <v>242</v>
      </c>
      <c r="V18" s="12">
        <f t="shared" si="7"/>
        <v>152</v>
      </c>
      <c r="W18" s="23">
        <f t="shared" si="8"/>
        <v>10.169643258940994</v>
      </c>
      <c r="X18" s="65"/>
      <c r="Y18" s="66"/>
      <c r="Z18" s="27"/>
      <c r="AA18" s="2"/>
      <c r="AB18" s="1"/>
      <c r="AC18" s="83">
        <v>293.3</v>
      </c>
      <c r="AD18" s="84">
        <v>57.3</v>
      </c>
      <c r="AE18" s="22">
        <f t="shared" si="9"/>
        <v>308.7</v>
      </c>
      <c r="AF18" s="12">
        <f t="shared" si="10"/>
        <v>218.7</v>
      </c>
      <c r="AG18" s="12">
        <f t="shared" si="11"/>
        <v>10.169643258940994</v>
      </c>
      <c r="AH18" s="48"/>
      <c r="AI18" s="27"/>
    </row>
    <row r="19" spans="1:35" ht="12.75" customHeight="1">
      <c r="A19" s="89">
        <f>H19/100+8.922</f>
        <v>9.397</v>
      </c>
      <c r="B19" s="90" t="s">
        <v>47</v>
      </c>
      <c r="C19" s="1" t="s">
        <v>48</v>
      </c>
      <c r="D19" s="1">
        <v>7</v>
      </c>
      <c r="E19" s="2" t="s">
        <v>44</v>
      </c>
      <c r="F19" s="15">
        <v>47</v>
      </c>
      <c r="G19" s="17">
        <v>48</v>
      </c>
      <c r="H19" s="1">
        <f t="shared" si="0"/>
        <v>47.5</v>
      </c>
      <c r="I19" s="40"/>
      <c r="J19" s="2">
        <v>270</v>
      </c>
      <c r="K19" s="11">
        <v>1</v>
      </c>
      <c r="L19" s="11">
        <v>348</v>
      </c>
      <c r="M19" s="11">
        <v>0</v>
      </c>
      <c r="N19" s="11"/>
      <c r="O19" s="46"/>
      <c r="P19" s="38">
        <f t="shared" si="1"/>
        <v>0.0036285593312143714</v>
      </c>
      <c r="Q19" s="38">
        <f t="shared" si="2"/>
        <v>0.01707102948366009</v>
      </c>
      <c r="R19" s="38">
        <f t="shared" si="3"/>
        <v>0.9779986241164496</v>
      </c>
      <c r="S19" s="62">
        <f t="shared" si="4"/>
        <v>77.99999999999997</v>
      </c>
      <c r="T19" s="12">
        <f t="shared" si="5"/>
        <v>88.97766409486735</v>
      </c>
      <c r="U19" s="22">
        <f t="shared" si="6"/>
        <v>258</v>
      </c>
      <c r="V19" s="12">
        <f t="shared" si="7"/>
        <v>168</v>
      </c>
      <c r="W19" s="23">
        <f t="shared" si="8"/>
        <v>1.0223359051326497</v>
      </c>
      <c r="X19" s="65"/>
      <c r="Y19" s="66"/>
      <c r="Z19" s="27"/>
      <c r="AA19" s="2"/>
      <c r="AB19" s="1"/>
      <c r="AC19" s="83">
        <v>293.3</v>
      </c>
      <c r="AD19" s="84">
        <v>57.3</v>
      </c>
      <c r="AE19" s="22">
        <f t="shared" si="9"/>
        <v>324.7</v>
      </c>
      <c r="AF19" s="12">
        <f t="shared" si="10"/>
        <v>234.7</v>
      </c>
      <c r="AG19" s="12">
        <f t="shared" si="11"/>
        <v>1.0223359051326497</v>
      </c>
      <c r="AH19" s="48"/>
      <c r="AI19" s="27"/>
    </row>
    <row r="20" spans="1:35" ht="12.75" customHeight="1">
      <c r="A20" s="89">
        <f>H20/100+8.922</f>
        <v>10.027000000000001</v>
      </c>
      <c r="B20" s="90" t="s">
        <v>47</v>
      </c>
      <c r="C20" s="1" t="s">
        <v>48</v>
      </c>
      <c r="D20" s="1">
        <v>7</v>
      </c>
      <c r="E20" s="2" t="s">
        <v>44</v>
      </c>
      <c r="F20" s="15">
        <v>110</v>
      </c>
      <c r="G20" s="17">
        <v>111</v>
      </c>
      <c r="H20" s="1">
        <f t="shared" si="0"/>
        <v>110.5</v>
      </c>
      <c r="I20" s="40"/>
      <c r="J20" s="2">
        <v>270</v>
      </c>
      <c r="K20" s="11">
        <v>4</v>
      </c>
      <c r="L20" s="11">
        <v>7</v>
      </c>
      <c r="M20" s="11">
        <v>0</v>
      </c>
      <c r="N20" s="11"/>
      <c r="O20" s="46"/>
      <c r="P20" s="38">
        <f t="shared" si="1"/>
        <v>-0.00850117565345496</v>
      </c>
      <c r="Q20" s="38">
        <f t="shared" si="2"/>
        <v>0.06923651956680049</v>
      </c>
      <c r="R20" s="38">
        <f t="shared" si="3"/>
        <v>0.9901283591011188</v>
      </c>
      <c r="S20" s="62">
        <f t="shared" si="4"/>
        <v>96.99999999999999</v>
      </c>
      <c r="T20" s="12">
        <f t="shared" si="5"/>
        <v>85.97005930517629</v>
      </c>
      <c r="U20" s="22">
        <f t="shared" si="6"/>
        <v>277</v>
      </c>
      <c r="V20" s="12">
        <f t="shared" si="7"/>
        <v>187</v>
      </c>
      <c r="W20" s="23">
        <f t="shared" si="8"/>
        <v>4.029940694823708</v>
      </c>
      <c r="X20" s="65"/>
      <c r="Y20" s="66"/>
      <c r="Z20" s="27"/>
      <c r="AA20" s="2"/>
      <c r="AB20" s="1"/>
      <c r="AC20" s="83">
        <v>293.3</v>
      </c>
      <c r="AD20" s="84">
        <v>57.3</v>
      </c>
      <c r="AE20" s="22">
        <f t="shared" si="9"/>
        <v>343.7</v>
      </c>
      <c r="AF20" s="12">
        <f t="shared" si="10"/>
        <v>253.7</v>
      </c>
      <c r="AG20" s="12">
        <f t="shared" si="11"/>
        <v>4.029940694823708</v>
      </c>
      <c r="AH20" s="48"/>
      <c r="AI20" s="27"/>
    </row>
    <row r="21" spans="1:35" ht="12.75" customHeight="1">
      <c r="A21" s="89">
        <f>H21/100+10.277</f>
        <v>10.347</v>
      </c>
      <c r="B21" s="90" t="s">
        <v>47</v>
      </c>
      <c r="C21" s="1" t="s">
        <v>48</v>
      </c>
      <c r="D21" s="1">
        <v>9</v>
      </c>
      <c r="E21" s="2" t="s">
        <v>44</v>
      </c>
      <c r="F21" s="15">
        <v>6.5</v>
      </c>
      <c r="G21" s="17">
        <v>7.5</v>
      </c>
      <c r="H21" s="1">
        <f t="shared" si="0"/>
        <v>7</v>
      </c>
      <c r="I21" s="40"/>
      <c r="J21" s="2">
        <v>270</v>
      </c>
      <c r="K21" s="11">
        <v>4</v>
      </c>
      <c r="L21" s="11">
        <v>12</v>
      </c>
      <c r="M21" s="11">
        <v>0</v>
      </c>
      <c r="N21" s="11"/>
      <c r="O21" s="46"/>
      <c r="P21" s="38">
        <f t="shared" si="1"/>
        <v>-0.014503186401625725</v>
      </c>
      <c r="Q21" s="38">
        <f t="shared" si="2"/>
        <v>0.06823212742846688</v>
      </c>
      <c r="R21" s="38">
        <f t="shared" si="3"/>
        <v>0.9757648823399446</v>
      </c>
      <c r="S21" s="62">
        <f t="shared" si="4"/>
        <v>102</v>
      </c>
      <c r="T21" s="12">
        <f t="shared" si="5"/>
        <v>85.91093745217013</v>
      </c>
      <c r="U21" s="22">
        <f t="shared" si="6"/>
        <v>282</v>
      </c>
      <c r="V21" s="12">
        <f t="shared" si="7"/>
        <v>192</v>
      </c>
      <c r="W21" s="23">
        <f t="shared" si="8"/>
        <v>4.089062547829869</v>
      </c>
      <c r="X21" s="65"/>
      <c r="Y21" s="66"/>
      <c r="Z21" s="27"/>
      <c r="AA21" s="2"/>
      <c r="AB21" s="1"/>
      <c r="AC21" s="83">
        <v>293.3</v>
      </c>
      <c r="AD21" s="84">
        <v>57.3</v>
      </c>
      <c r="AE21" s="22">
        <f t="shared" si="9"/>
        <v>348.7</v>
      </c>
      <c r="AF21" s="12">
        <f t="shared" si="10"/>
        <v>258.7</v>
      </c>
      <c r="AG21" s="12">
        <f t="shared" si="11"/>
        <v>4.089062547829869</v>
      </c>
      <c r="AH21" s="48"/>
      <c r="AI21" s="27"/>
    </row>
    <row r="22" spans="1:35" ht="12.75" customHeight="1">
      <c r="A22" s="89">
        <f>H22/100+10.277</f>
        <v>11.292</v>
      </c>
      <c r="B22" s="90" t="s">
        <v>47</v>
      </c>
      <c r="C22" s="1" t="s">
        <v>48</v>
      </c>
      <c r="D22" s="1">
        <v>9</v>
      </c>
      <c r="E22" s="2" t="s">
        <v>44</v>
      </c>
      <c r="F22" s="15">
        <v>101</v>
      </c>
      <c r="G22" s="17">
        <v>102</v>
      </c>
      <c r="H22" s="1">
        <f t="shared" si="0"/>
        <v>101.5</v>
      </c>
      <c r="I22" s="40"/>
      <c r="J22" s="2">
        <v>270</v>
      </c>
      <c r="K22" s="11">
        <v>3</v>
      </c>
      <c r="L22" s="11">
        <v>44</v>
      </c>
      <c r="M22" s="11">
        <v>0</v>
      </c>
      <c r="N22" s="11"/>
      <c r="O22" s="46"/>
      <c r="P22" s="38">
        <f t="shared" si="1"/>
        <v>-0.03635561008013674</v>
      </c>
      <c r="Q22" s="38">
        <f t="shared" si="2"/>
        <v>0.0376473363143316</v>
      </c>
      <c r="R22" s="38">
        <f t="shared" si="3"/>
        <v>0.7183539701426351</v>
      </c>
      <c r="S22" s="62">
        <f t="shared" si="4"/>
        <v>134</v>
      </c>
      <c r="T22" s="12">
        <f t="shared" si="5"/>
        <v>85.83305600811099</v>
      </c>
      <c r="U22" s="22">
        <f t="shared" si="6"/>
        <v>314</v>
      </c>
      <c r="V22" s="12">
        <f t="shared" si="7"/>
        <v>224</v>
      </c>
      <c r="W22" s="23">
        <f t="shared" si="8"/>
        <v>4.166943991889013</v>
      </c>
      <c r="X22" s="65"/>
      <c r="Y22" s="66"/>
      <c r="Z22" s="27"/>
      <c r="AA22" s="2"/>
      <c r="AB22" s="1"/>
      <c r="AC22" s="83">
        <v>293.3</v>
      </c>
      <c r="AD22" s="84">
        <v>57.3</v>
      </c>
      <c r="AE22" s="22">
        <f t="shared" si="9"/>
        <v>20.69999999999999</v>
      </c>
      <c r="AF22" s="12">
        <f t="shared" si="10"/>
        <v>290.7</v>
      </c>
      <c r="AG22" s="12">
        <f t="shared" si="11"/>
        <v>4.166943991889013</v>
      </c>
      <c r="AH22" s="48"/>
      <c r="AI22" s="27"/>
    </row>
    <row r="23" spans="1:35" ht="12.75" customHeight="1">
      <c r="A23" s="89">
        <f>H23/100+13</f>
        <v>13.075</v>
      </c>
      <c r="B23" s="90" t="s">
        <v>47</v>
      </c>
      <c r="C23" s="1" t="s">
        <v>46</v>
      </c>
      <c r="D23" s="1">
        <v>1</v>
      </c>
      <c r="E23" s="2" t="s">
        <v>44</v>
      </c>
      <c r="F23" s="15">
        <v>6</v>
      </c>
      <c r="G23" s="17">
        <v>9</v>
      </c>
      <c r="H23" s="1">
        <f t="shared" si="0"/>
        <v>7.5</v>
      </c>
      <c r="I23" s="40"/>
      <c r="J23" s="2">
        <v>90</v>
      </c>
      <c r="K23" s="11">
        <v>20</v>
      </c>
      <c r="L23" s="11">
        <v>42</v>
      </c>
      <c r="M23" s="11">
        <v>0</v>
      </c>
      <c r="N23" s="11"/>
      <c r="O23" s="46"/>
      <c r="P23" s="38">
        <f t="shared" si="1"/>
        <v>-0.2288561458904483</v>
      </c>
      <c r="Q23" s="38">
        <f t="shared" si="2"/>
        <v>0.25417049972150746</v>
      </c>
      <c r="R23" s="38">
        <f t="shared" si="3"/>
        <v>-0.6983277086763391</v>
      </c>
      <c r="S23" s="62">
        <f t="shared" si="4"/>
        <v>132</v>
      </c>
      <c r="T23" s="12">
        <f t="shared" si="5"/>
        <v>-63.905761535560174</v>
      </c>
      <c r="U23" s="22">
        <f t="shared" si="6"/>
        <v>132</v>
      </c>
      <c r="V23" s="12">
        <f t="shared" si="7"/>
        <v>42</v>
      </c>
      <c r="W23" s="23">
        <f t="shared" si="8"/>
        <v>26.094238464439826</v>
      </c>
      <c r="X23" s="65"/>
      <c r="Y23" s="66"/>
      <c r="Z23" s="27"/>
      <c r="AA23" s="2"/>
      <c r="AB23" s="1"/>
      <c r="AC23" s="83">
        <v>253.8</v>
      </c>
      <c r="AD23" s="84">
        <v>60.8</v>
      </c>
      <c r="AE23" s="22">
        <f t="shared" si="9"/>
        <v>238.2</v>
      </c>
      <c r="AF23" s="12">
        <f t="shared" si="10"/>
        <v>148.2</v>
      </c>
      <c r="AG23" s="12">
        <f t="shared" si="11"/>
        <v>26.094238464439826</v>
      </c>
      <c r="AH23" s="48"/>
      <c r="AI23" s="27"/>
    </row>
    <row r="24" spans="1:39" ht="12.75" customHeight="1">
      <c r="A24" s="89">
        <f>H24/100+13</f>
        <v>13.675</v>
      </c>
      <c r="B24" s="90" t="s">
        <v>47</v>
      </c>
      <c r="C24" s="1" t="s">
        <v>46</v>
      </c>
      <c r="D24" s="1">
        <v>10</v>
      </c>
      <c r="E24" s="2" t="s">
        <v>148</v>
      </c>
      <c r="F24" s="15">
        <v>47</v>
      </c>
      <c r="G24" s="17">
        <v>88</v>
      </c>
      <c r="H24" s="1">
        <f t="shared" si="0"/>
        <v>67.5</v>
      </c>
      <c r="I24" s="40"/>
      <c r="J24" s="2">
        <v>90</v>
      </c>
      <c r="K24" s="11">
        <v>78</v>
      </c>
      <c r="L24" s="11">
        <v>21</v>
      </c>
      <c r="M24" s="11">
        <v>0</v>
      </c>
      <c r="N24" s="11"/>
      <c r="O24" s="46"/>
      <c r="P24" s="38">
        <f t="shared" si="1"/>
        <v>-0.35053675002762896</v>
      </c>
      <c r="Q24" s="38">
        <f t="shared" si="2"/>
        <v>0.9131794542702808</v>
      </c>
      <c r="R24" s="38">
        <f t="shared" si="3"/>
        <v>-0.1941022849873982</v>
      </c>
      <c r="S24" s="62">
        <f t="shared" si="4"/>
        <v>111.00000000000001</v>
      </c>
      <c r="T24" s="12">
        <f t="shared" si="5"/>
        <v>-11.223888411467087</v>
      </c>
      <c r="U24" s="22">
        <f t="shared" si="6"/>
        <v>111.00000000000001</v>
      </c>
      <c r="V24" s="12">
        <f t="shared" si="7"/>
        <v>21.000000000000014</v>
      </c>
      <c r="W24" s="23">
        <f t="shared" si="8"/>
        <v>78.77611158853291</v>
      </c>
      <c r="X24" s="65"/>
      <c r="Y24" s="66"/>
      <c r="Z24" s="27"/>
      <c r="AA24" s="2"/>
      <c r="AB24" s="11"/>
      <c r="AC24" s="83"/>
      <c r="AD24" s="84"/>
      <c r="AE24" s="22"/>
      <c r="AF24" s="12"/>
      <c r="AG24" s="12"/>
      <c r="AH24" s="48"/>
      <c r="AI24" s="27"/>
      <c r="AM24" s="54"/>
    </row>
    <row r="25" spans="1:35" ht="12.75" customHeight="1">
      <c r="A25" s="89">
        <f>H25/100+13</f>
        <v>14.3</v>
      </c>
      <c r="B25" s="90" t="s">
        <v>47</v>
      </c>
      <c r="C25" s="1" t="s">
        <v>46</v>
      </c>
      <c r="D25" s="1">
        <v>1</v>
      </c>
      <c r="E25" s="2" t="s">
        <v>44</v>
      </c>
      <c r="F25" s="15">
        <v>129</v>
      </c>
      <c r="G25" s="17">
        <v>131</v>
      </c>
      <c r="H25" s="1">
        <f t="shared" si="0"/>
        <v>130</v>
      </c>
      <c r="I25" s="40"/>
      <c r="J25" s="2">
        <v>270</v>
      </c>
      <c r="K25" s="11">
        <v>8</v>
      </c>
      <c r="L25" s="11">
        <v>71</v>
      </c>
      <c r="M25" s="11">
        <v>0</v>
      </c>
      <c r="N25" s="11"/>
      <c r="O25" s="46"/>
      <c r="P25" s="38">
        <f t="shared" si="1"/>
        <v>-0.131590752181501</v>
      </c>
      <c r="Q25" s="38">
        <f t="shared" si="2"/>
        <v>0.04531032962964805</v>
      </c>
      <c r="R25" s="38">
        <f t="shared" si="3"/>
        <v>0.32239974755804574</v>
      </c>
      <c r="S25" s="62">
        <f t="shared" si="4"/>
        <v>161</v>
      </c>
      <c r="T25" s="12">
        <f t="shared" si="5"/>
        <v>66.65117165272811</v>
      </c>
      <c r="U25" s="22">
        <f t="shared" si="6"/>
        <v>341</v>
      </c>
      <c r="V25" s="12">
        <f t="shared" si="7"/>
        <v>251</v>
      </c>
      <c r="W25" s="23">
        <f t="shared" si="8"/>
        <v>23.34882834727189</v>
      </c>
      <c r="X25" s="65"/>
      <c r="Y25" s="66"/>
      <c r="Z25" s="27"/>
      <c r="AA25" s="2"/>
      <c r="AB25" s="1"/>
      <c r="AC25" s="83">
        <v>253.8</v>
      </c>
      <c r="AD25" s="84">
        <v>60.8</v>
      </c>
      <c r="AE25" s="22">
        <f aca="true" t="shared" si="12" ref="AE25:AE32">IF(AD25&gt;=0,IF(U25&gt;=AC25,U25-AC25,U25-AC25+360),IF((U25-AC25-180)&lt;0,IF(U25-AC25+180&lt;0,U25-AC25+540,U25-AC25+180),U25-AC25-180))</f>
        <v>87.19999999999999</v>
      </c>
      <c r="AF25" s="12">
        <f aca="true" t="shared" si="13" ref="AF25:AF32">IF(AE25-90&lt;0,AE25+270,AE25-90)</f>
        <v>357.2</v>
      </c>
      <c r="AG25" s="12">
        <f aca="true" t="shared" si="14" ref="AG25:AG32">W25</f>
        <v>23.34882834727189</v>
      </c>
      <c r="AH25" s="48"/>
      <c r="AI25" s="27"/>
    </row>
    <row r="26" spans="1:35" ht="12.75" customHeight="1">
      <c r="A26" s="89">
        <f>H26/100+14.325</f>
        <v>15.059999999999999</v>
      </c>
      <c r="B26" s="90" t="s">
        <v>47</v>
      </c>
      <c r="C26" s="1" t="s">
        <v>46</v>
      </c>
      <c r="D26" s="1">
        <v>2</v>
      </c>
      <c r="E26" s="2" t="s">
        <v>44</v>
      </c>
      <c r="F26" s="15">
        <v>73</v>
      </c>
      <c r="G26" s="17">
        <v>74</v>
      </c>
      <c r="H26" s="1">
        <f t="shared" si="0"/>
        <v>73.5</v>
      </c>
      <c r="I26" s="40"/>
      <c r="J26" s="2">
        <v>270</v>
      </c>
      <c r="K26" s="11">
        <v>3</v>
      </c>
      <c r="L26" s="11">
        <v>349</v>
      </c>
      <c r="M26" s="11">
        <v>0</v>
      </c>
      <c r="N26" s="11"/>
      <c r="O26" s="46"/>
      <c r="P26" s="38">
        <f t="shared" si="1"/>
        <v>0.009986171232786913</v>
      </c>
      <c r="Q26" s="38">
        <f t="shared" si="2"/>
        <v>0.05137439731980113</v>
      </c>
      <c r="R26" s="38">
        <f t="shared" si="3"/>
        <v>0.9802818975087834</v>
      </c>
      <c r="S26" s="62">
        <f t="shared" si="4"/>
        <v>79.00000000000001</v>
      </c>
      <c r="T26" s="12">
        <f t="shared" si="5"/>
        <v>86.9439553757016</v>
      </c>
      <c r="U26" s="22">
        <f t="shared" si="6"/>
        <v>259</v>
      </c>
      <c r="V26" s="12">
        <f t="shared" si="7"/>
        <v>169</v>
      </c>
      <c r="W26" s="23">
        <f t="shared" si="8"/>
        <v>3.0560446242983943</v>
      </c>
      <c r="X26" s="65"/>
      <c r="Y26" s="66"/>
      <c r="Z26" s="27"/>
      <c r="AA26" s="2"/>
      <c r="AB26" s="1"/>
      <c r="AC26" s="83">
        <v>253.8</v>
      </c>
      <c r="AD26" s="84">
        <v>60.8</v>
      </c>
      <c r="AE26" s="22">
        <f t="shared" si="12"/>
        <v>5.199999999999989</v>
      </c>
      <c r="AF26" s="12">
        <f t="shared" si="13"/>
        <v>275.2</v>
      </c>
      <c r="AG26" s="12">
        <f t="shared" si="14"/>
        <v>3.0560446242983943</v>
      </c>
      <c r="AH26" s="48"/>
      <c r="AI26" s="27"/>
    </row>
    <row r="27" spans="1:39" s="33" customFormat="1" ht="12.75" customHeight="1">
      <c r="A27" s="89">
        <f>H27/100+15.65</f>
        <v>15.775</v>
      </c>
      <c r="B27" s="90" t="s">
        <v>47</v>
      </c>
      <c r="C27" s="1" t="s">
        <v>46</v>
      </c>
      <c r="D27" s="1">
        <v>3</v>
      </c>
      <c r="E27" s="2" t="s">
        <v>44</v>
      </c>
      <c r="F27" s="15">
        <v>12</v>
      </c>
      <c r="G27" s="17">
        <v>13</v>
      </c>
      <c r="H27" s="1">
        <f t="shared" si="0"/>
        <v>12.5</v>
      </c>
      <c r="I27" s="40"/>
      <c r="J27" s="2">
        <v>270</v>
      </c>
      <c r="K27" s="11">
        <v>4</v>
      </c>
      <c r="L27" s="11">
        <v>25</v>
      </c>
      <c r="M27" s="11">
        <v>0</v>
      </c>
      <c r="N27" s="11"/>
      <c r="O27" s="46"/>
      <c r="P27" s="38">
        <f t="shared" si="1"/>
        <v>-0.029480359678902977</v>
      </c>
      <c r="Q27" s="38">
        <f t="shared" si="2"/>
        <v>0.06322083535051838</v>
      </c>
      <c r="R27" s="38">
        <f t="shared" si="3"/>
        <v>0.9041000668182986</v>
      </c>
      <c r="S27" s="62">
        <f t="shared" si="4"/>
        <v>115</v>
      </c>
      <c r="T27" s="12">
        <f t="shared" si="5"/>
        <v>85.58804494851874</v>
      </c>
      <c r="U27" s="22">
        <f t="shared" si="6"/>
        <v>295</v>
      </c>
      <c r="V27" s="12">
        <f t="shared" si="7"/>
        <v>205</v>
      </c>
      <c r="W27" s="23">
        <f t="shared" si="8"/>
        <v>4.411955051481257</v>
      </c>
      <c r="X27" s="65"/>
      <c r="Y27" s="66"/>
      <c r="Z27" s="27"/>
      <c r="AA27" s="2"/>
      <c r="AB27" s="1"/>
      <c r="AC27" s="83">
        <v>253.8</v>
      </c>
      <c r="AD27" s="84">
        <v>60.8</v>
      </c>
      <c r="AE27" s="22">
        <f t="shared" si="12"/>
        <v>41.19999999999999</v>
      </c>
      <c r="AF27" s="12">
        <f t="shared" si="13"/>
        <v>311.2</v>
      </c>
      <c r="AG27" s="12">
        <f t="shared" si="14"/>
        <v>4.411955051481257</v>
      </c>
      <c r="AH27" s="48"/>
      <c r="AI27" s="27"/>
      <c r="AJ27"/>
      <c r="AK27"/>
      <c r="AL27"/>
      <c r="AM27"/>
    </row>
    <row r="28" spans="1:36" s="33" customFormat="1" ht="12.75" customHeight="1">
      <c r="A28" s="89">
        <f>H28/100+17.017</f>
        <v>18.041999999999998</v>
      </c>
      <c r="B28" s="90" t="s">
        <v>47</v>
      </c>
      <c r="C28" s="1" t="s">
        <v>46</v>
      </c>
      <c r="D28" s="1">
        <v>6</v>
      </c>
      <c r="E28" s="2" t="s">
        <v>44</v>
      </c>
      <c r="F28" s="15">
        <v>102</v>
      </c>
      <c r="G28" s="17">
        <v>103</v>
      </c>
      <c r="H28" s="1">
        <f t="shared" si="0"/>
        <v>102.5</v>
      </c>
      <c r="I28" s="40"/>
      <c r="J28" s="2">
        <v>270</v>
      </c>
      <c r="K28" s="11">
        <v>7</v>
      </c>
      <c r="L28" s="11">
        <v>164</v>
      </c>
      <c r="M28" s="11">
        <v>0</v>
      </c>
      <c r="N28" s="11"/>
      <c r="O28" s="46"/>
      <c r="P28" s="38">
        <f t="shared" si="1"/>
        <v>-0.03359174357134875</v>
      </c>
      <c r="Q28" s="38">
        <f t="shared" si="2"/>
        <v>-0.11714833172452141</v>
      </c>
      <c r="R28" s="38">
        <f t="shared" si="3"/>
        <v>-0.9540965970237888</v>
      </c>
      <c r="S28" s="62">
        <f t="shared" si="4"/>
        <v>253.99999999999997</v>
      </c>
      <c r="T28" s="12">
        <f t="shared" si="5"/>
        <v>-82.72087194930555</v>
      </c>
      <c r="U28" s="22">
        <f t="shared" si="6"/>
        <v>253.99999999999997</v>
      </c>
      <c r="V28" s="12">
        <f t="shared" si="7"/>
        <v>163.99999999999997</v>
      </c>
      <c r="W28" s="23">
        <f t="shared" si="8"/>
        <v>7.279128050694453</v>
      </c>
      <c r="X28" s="65"/>
      <c r="Y28" s="66"/>
      <c r="Z28" s="27"/>
      <c r="AA28" s="2"/>
      <c r="AB28" s="1"/>
      <c r="AC28" s="83">
        <v>253.8</v>
      </c>
      <c r="AD28" s="84">
        <v>60.8</v>
      </c>
      <c r="AE28" s="22">
        <f t="shared" si="12"/>
        <v>0.1999999999999602</v>
      </c>
      <c r="AF28" s="12">
        <f t="shared" si="13"/>
        <v>270.19999999999993</v>
      </c>
      <c r="AG28" s="12">
        <f t="shared" si="14"/>
        <v>7.279128050694453</v>
      </c>
      <c r="AH28" s="48"/>
      <c r="AI28" s="27"/>
      <c r="AJ28"/>
    </row>
    <row r="29" spans="1:39" s="33" customFormat="1" ht="12.75" customHeight="1">
      <c r="A29" s="89">
        <f>H29/100+17.017</f>
        <v>18.232</v>
      </c>
      <c r="B29" s="90" t="s">
        <v>47</v>
      </c>
      <c r="C29" s="1" t="s">
        <v>46</v>
      </c>
      <c r="D29" s="1">
        <v>6</v>
      </c>
      <c r="E29" s="2" t="s">
        <v>50</v>
      </c>
      <c r="F29" s="15">
        <v>112</v>
      </c>
      <c r="G29" s="17">
        <v>131</v>
      </c>
      <c r="H29" s="1">
        <f t="shared" si="0"/>
        <v>121.5</v>
      </c>
      <c r="I29" s="40"/>
      <c r="J29" s="2">
        <v>90</v>
      </c>
      <c r="K29" s="11">
        <v>76</v>
      </c>
      <c r="L29" s="11">
        <v>332</v>
      </c>
      <c r="M29" s="11">
        <v>0</v>
      </c>
      <c r="N29" s="11"/>
      <c r="O29" s="46"/>
      <c r="P29" s="38">
        <f t="shared" si="1"/>
        <v>0.45552625097926297</v>
      </c>
      <c r="Q29" s="38">
        <f t="shared" si="2"/>
        <v>0.8567202758766953</v>
      </c>
      <c r="R29" s="38">
        <f t="shared" si="3"/>
        <v>-0.21360435537959538</v>
      </c>
      <c r="S29" s="62">
        <f t="shared" si="4"/>
        <v>62</v>
      </c>
      <c r="T29" s="12">
        <f t="shared" si="5"/>
        <v>-12.415263940401394</v>
      </c>
      <c r="U29" s="22">
        <f t="shared" si="6"/>
        <v>62</v>
      </c>
      <c r="V29" s="12">
        <f t="shared" si="7"/>
        <v>332</v>
      </c>
      <c r="W29" s="23">
        <f t="shared" si="8"/>
        <v>77.58473605959861</v>
      </c>
      <c r="X29" s="65"/>
      <c r="Y29" s="66"/>
      <c r="Z29" s="27" t="s">
        <v>51</v>
      </c>
      <c r="AA29" s="2"/>
      <c r="AB29" s="11"/>
      <c r="AC29" s="83">
        <v>253.8</v>
      </c>
      <c r="AD29" s="84">
        <v>60.8</v>
      </c>
      <c r="AE29" s="22">
        <f t="shared" si="12"/>
        <v>168.2</v>
      </c>
      <c r="AF29" s="12">
        <f t="shared" si="13"/>
        <v>78.19999999999999</v>
      </c>
      <c r="AG29" s="12">
        <f t="shared" si="14"/>
        <v>77.58473605959861</v>
      </c>
      <c r="AH29" s="48"/>
      <c r="AI29" s="27" t="str">
        <f>Z29</f>
        <v>N</v>
      </c>
      <c r="AJ29"/>
      <c r="AK29"/>
      <c r="AL29" s="54"/>
      <c r="AM29" s="54"/>
    </row>
    <row r="30" spans="1:36" s="33" customFormat="1" ht="12.75" customHeight="1">
      <c r="A30" s="89">
        <f>H30/100+18.337</f>
        <v>19.032</v>
      </c>
      <c r="B30" s="90" t="s">
        <v>47</v>
      </c>
      <c r="C30" s="1" t="s">
        <v>46</v>
      </c>
      <c r="D30" s="1">
        <v>7</v>
      </c>
      <c r="E30" s="2" t="s">
        <v>44</v>
      </c>
      <c r="F30" s="15">
        <v>69</v>
      </c>
      <c r="G30" s="17">
        <v>70</v>
      </c>
      <c r="H30" s="1">
        <f t="shared" si="0"/>
        <v>69.5</v>
      </c>
      <c r="I30" s="40"/>
      <c r="J30" s="2">
        <v>270</v>
      </c>
      <c r="K30" s="11">
        <v>12</v>
      </c>
      <c r="L30" s="11">
        <v>1</v>
      </c>
      <c r="M30" s="11">
        <v>0</v>
      </c>
      <c r="N30" s="11"/>
      <c r="O30" s="46"/>
      <c r="P30" s="38">
        <f t="shared" si="1"/>
        <v>-0.003628559331214362</v>
      </c>
      <c r="Q30" s="38">
        <f t="shared" si="2"/>
        <v>0.20788002486020488</v>
      </c>
      <c r="R30" s="38">
        <f t="shared" si="3"/>
        <v>0.9779986241164497</v>
      </c>
      <c r="S30" s="62">
        <f t="shared" si="4"/>
        <v>91</v>
      </c>
      <c r="T30" s="12">
        <f t="shared" si="5"/>
        <v>77.99822506300274</v>
      </c>
      <c r="U30" s="22">
        <f t="shared" si="6"/>
        <v>271</v>
      </c>
      <c r="V30" s="12">
        <f t="shared" si="7"/>
        <v>181</v>
      </c>
      <c r="W30" s="23">
        <f t="shared" si="8"/>
        <v>12.001774936997265</v>
      </c>
      <c r="X30" s="65"/>
      <c r="Y30" s="66"/>
      <c r="Z30" s="27"/>
      <c r="AA30" s="2"/>
      <c r="AB30" s="1"/>
      <c r="AC30" s="83">
        <v>253.8</v>
      </c>
      <c r="AD30" s="84">
        <v>60.8</v>
      </c>
      <c r="AE30" s="22">
        <f t="shared" si="12"/>
        <v>17.19999999999999</v>
      </c>
      <c r="AF30" s="12">
        <f t="shared" si="13"/>
        <v>287.2</v>
      </c>
      <c r="AG30" s="12">
        <f t="shared" si="14"/>
        <v>12.001774936997265</v>
      </c>
      <c r="AH30" s="48"/>
      <c r="AI30" s="27"/>
      <c r="AJ30"/>
    </row>
    <row r="31" spans="1:39" ht="12.75" customHeight="1">
      <c r="A31" s="89">
        <f>H31/100+18.337</f>
        <v>19.352</v>
      </c>
      <c r="B31" s="90" t="s">
        <v>47</v>
      </c>
      <c r="C31" s="1" t="s">
        <v>46</v>
      </c>
      <c r="D31" s="1">
        <v>7</v>
      </c>
      <c r="E31" s="2" t="s">
        <v>44</v>
      </c>
      <c r="F31" s="15">
        <v>101</v>
      </c>
      <c r="G31" s="17">
        <v>102</v>
      </c>
      <c r="H31" s="1">
        <f t="shared" si="0"/>
        <v>101.5</v>
      </c>
      <c r="I31" s="40"/>
      <c r="J31" s="2">
        <v>270</v>
      </c>
      <c r="K31" s="11">
        <v>6</v>
      </c>
      <c r="L31" s="11">
        <v>100</v>
      </c>
      <c r="M31" s="11">
        <v>0</v>
      </c>
      <c r="N31" s="11"/>
      <c r="O31" s="46"/>
      <c r="P31" s="38">
        <f t="shared" si="1"/>
        <v>-0.10294044103643693</v>
      </c>
      <c r="Q31" s="38">
        <f t="shared" si="2"/>
        <v>-0.018151177160752686</v>
      </c>
      <c r="R31" s="38">
        <f t="shared" si="3"/>
        <v>-0.17269691478056234</v>
      </c>
      <c r="S31" s="62">
        <f t="shared" si="4"/>
        <v>190</v>
      </c>
      <c r="T31" s="12">
        <f t="shared" si="5"/>
        <v>-58.814689461968314</v>
      </c>
      <c r="U31" s="22">
        <f t="shared" si="6"/>
        <v>190</v>
      </c>
      <c r="V31" s="12">
        <f t="shared" si="7"/>
        <v>100</v>
      </c>
      <c r="W31" s="23">
        <f t="shared" si="8"/>
        <v>31.185310538031686</v>
      </c>
      <c r="X31" s="65"/>
      <c r="Y31" s="66"/>
      <c r="Z31" s="27"/>
      <c r="AA31" s="2"/>
      <c r="AB31" s="1"/>
      <c r="AC31" s="83">
        <v>253.8</v>
      </c>
      <c r="AD31" s="84">
        <v>60.8</v>
      </c>
      <c r="AE31" s="22">
        <f t="shared" si="12"/>
        <v>296.2</v>
      </c>
      <c r="AF31" s="12">
        <f t="shared" si="13"/>
        <v>206.2</v>
      </c>
      <c r="AG31" s="12">
        <f t="shared" si="14"/>
        <v>31.185310538031686</v>
      </c>
      <c r="AH31" s="48"/>
      <c r="AI31" s="27"/>
      <c r="AK31" s="33"/>
      <c r="AL31" s="33"/>
      <c r="AM31" s="33"/>
    </row>
    <row r="32" spans="1:39" ht="12.75" customHeight="1">
      <c r="A32" s="89">
        <f>H32/100+19.676</f>
        <v>20.226</v>
      </c>
      <c r="B32" s="90" t="s">
        <v>47</v>
      </c>
      <c r="C32" s="1" t="s">
        <v>46</v>
      </c>
      <c r="D32" s="1">
        <v>9</v>
      </c>
      <c r="E32" s="2" t="s">
        <v>44</v>
      </c>
      <c r="F32" s="15">
        <v>54</v>
      </c>
      <c r="G32" s="17">
        <v>56</v>
      </c>
      <c r="H32" s="1">
        <f t="shared" si="0"/>
        <v>55</v>
      </c>
      <c r="I32" s="40"/>
      <c r="J32" s="2">
        <v>270</v>
      </c>
      <c r="K32" s="11">
        <v>9</v>
      </c>
      <c r="L32" s="11">
        <v>19</v>
      </c>
      <c r="M32" s="11">
        <v>0</v>
      </c>
      <c r="N32" s="11"/>
      <c r="O32" s="46"/>
      <c r="P32" s="38">
        <f t="shared" si="1"/>
        <v>-0.05093008007664056</v>
      </c>
      <c r="Q32" s="38">
        <f t="shared" si="2"/>
        <v>0.14791169255948022</v>
      </c>
      <c r="R32" s="38">
        <f t="shared" si="3"/>
        <v>0.9338776729355674</v>
      </c>
      <c r="S32" s="62">
        <f t="shared" si="4"/>
        <v>109</v>
      </c>
      <c r="T32" s="12">
        <f t="shared" si="5"/>
        <v>80.4906339567209</v>
      </c>
      <c r="U32" s="22">
        <f t="shared" si="6"/>
        <v>289</v>
      </c>
      <c r="V32" s="12">
        <f t="shared" si="7"/>
        <v>199</v>
      </c>
      <c r="W32" s="23">
        <f t="shared" si="8"/>
        <v>9.509366043279101</v>
      </c>
      <c r="X32" s="65"/>
      <c r="Y32" s="66"/>
      <c r="Z32" s="27"/>
      <c r="AA32" s="2"/>
      <c r="AB32" s="1"/>
      <c r="AC32" s="83">
        <v>253.8</v>
      </c>
      <c r="AD32" s="84">
        <v>60.8</v>
      </c>
      <c r="AE32" s="22">
        <f t="shared" si="12"/>
        <v>35.19999999999999</v>
      </c>
      <c r="AF32" s="12">
        <f t="shared" si="13"/>
        <v>305.2</v>
      </c>
      <c r="AG32" s="12">
        <f t="shared" si="14"/>
        <v>9.509366043279101</v>
      </c>
      <c r="AH32" s="48"/>
      <c r="AI32" s="27"/>
      <c r="AK32" s="33"/>
      <c r="AL32" s="33"/>
      <c r="AM32" s="33"/>
    </row>
    <row r="33" spans="1:39" ht="12.75" customHeight="1">
      <c r="A33" s="89">
        <f>H33/100+19.676</f>
        <v>20.781</v>
      </c>
      <c r="B33" s="90" t="s">
        <v>47</v>
      </c>
      <c r="C33" s="1" t="s">
        <v>46</v>
      </c>
      <c r="D33" s="1">
        <v>9</v>
      </c>
      <c r="E33" s="2" t="s">
        <v>148</v>
      </c>
      <c r="F33" s="15">
        <v>108</v>
      </c>
      <c r="G33" s="17">
        <v>113</v>
      </c>
      <c r="H33" s="1">
        <f t="shared" si="0"/>
        <v>110.5</v>
      </c>
      <c r="I33" s="40"/>
      <c r="J33" s="2"/>
      <c r="K33" s="11"/>
      <c r="L33" s="11"/>
      <c r="M33" s="11"/>
      <c r="N33" s="11"/>
      <c r="O33" s="46"/>
      <c r="P33" s="38"/>
      <c r="Q33" s="38"/>
      <c r="R33" s="38"/>
      <c r="S33" s="62"/>
      <c r="T33" s="12"/>
      <c r="U33" s="22"/>
      <c r="V33" s="12"/>
      <c r="W33" s="23"/>
      <c r="X33" s="65"/>
      <c r="Y33" s="66"/>
      <c r="Z33" s="27"/>
      <c r="AA33" s="2"/>
      <c r="AB33" s="11"/>
      <c r="AC33" s="83"/>
      <c r="AD33" s="84"/>
      <c r="AE33" s="22"/>
      <c r="AF33" s="12"/>
      <c r="AG33" s="12"/>
      <c r="AH33" s="48"/>
      <c r="AI33" s="27"/>
      <c r="AM33" s="54"/>
    </row>
    <row r="34" spans="1:39" ht="12.75" customHeight="1">
      <c r="A34" s="89">
        <f>H34/100+19.676</f>
        <v>20.871</v>
      </c>
      <c r="B34" s="90" t="s">
        <v>47</v>
      </c>
      <c r="C34" s="1" t="s">
        <v>46</v>
      </c>
      <c r="D34" s="1">
        <v>9</v>
      </c>
      <c r="E34" s="2" t="s">
        <v>148</v>
      </c>
      <c r="F34" s="15">
        <v>118</v>
      </c>
      <c r="G34" s="17">
        <v>121</v>
      </c>
      <c r="H34" s="1">
        <f t="shared" si="0"/>
        <v>119.5</v>
      </c>
      <c r="I34" s="40"/>
      <c r="J34" s="2"/>
      <c r="K34" s="11"/>
      <c r="L34" s="11"/>
      <c r="M34" s="11"/>
      <c r="N34" s="11"/>
      <c r="O34" s="46"/>
      <c r="P34" s="38"/>
      <c r="Q34" s="38"/>
      <c r="R34" s="38"/>
      <c r="S34" s="62"/>
      <c r="T34" s="12"/>
      <c r="U34" s="22"/>
      <c r="V34" s="12"/>
      <c r="W34" s="23"/>
      <c r="X34" s="65"/>
      <c r="Y34" s="66"/>
      <c r="Z34" s="27"/>
      <c r="AA34" s="2"/>
      <c r="AB34" s="11"/>
      <c r="AC34" s="83"/>
      <c r="AD34" s="84"/>
      <c r="AE34" s="22"/>
      <c r="AF34" s="12"/>
      <c r="AG34" s="12"/>
      <c r="AH34" s="48"/>
      <c r="AI34" s="27"/>
      <c r="AM34" s="54"/>
    </row>
    <row r="35" spans="1:39" ht="12.75" customHeight="1">
      <c r="A35" s="89">
        <f>H35/100+19.676</f>
        <v>21.020999999999997</v>
      </c>
      <c r="B35" s="90" t="s">
        <v>47</v>
      </c>
      <c r="C35" s="1" t="s">
        <v>46</v>
      </c>
      <c r="D35" s="1">
        <v>9</v>
      </c>
      <c r="E35" s="2" t="s">
        <v>148</v>
      </c>
      <c r="F35" s="15">
        <v>133</v>
      </c>
      <c r="G35" s="17">
        <v>136</v>
      </c>
      <c r="H35" s="1">
        <f t="shared" si="0"/>
        <v>134.5</v>
      </c>
      <c r="I35" s="40"/>
      <c r="J35" s="2"/>
      <c r="K35" s="11"/>
      <c r="L35" s="11"/>
      <c r="M35" s="11"/>
      <c r="N35" s="11"/>
      <c r="O35" s="46"/>
      <c r="P35" s="38"/>
      <c r="Q35" s="38"/>
      <c r="R35" s="38"/>
      <c r="S35" s="62"/>
      <c r="T35" s="12"/>
      <c r="U35" s="22"/>
      <c r="V35" s="12"/>
      <c r="W35" s="23"/>
      <c r="X35" s="65"/>
      <c r="Y35" s="66"/>
      <c r="Z35" s="27"/>
      <c r="AA35" s="2"/>
      <c r="AB35" s="11"/>
      <c r="AC35" s="83"/>
      <c r="AD35" s="84"/>
      <c r="AE35" s="22"/>
      <c r="AF35" s="12"/>
      <c r="AG35" s="12"/>
      <c r="AH35" s="48"/>
      <c r="AI35" s="27"/>
      <c r="AL35" s="54"/>
      <c r="AM35" s="54"/>
    </row>
    <row r="36" spans="1:35" ht="12.75" customHeight="1">
      <c r="A36" s="89">
        <f>H36/100+21.001</f>
        <v>21.266000000000002</v>
      </c>
      <c r="B36" s="90" t="s">
        <v>47</v>
      </c>
      <c r="C36" s="1" t="s">
        <v>46</v>
      </c>
      <c r="D36" s="1">
        <v>10</v>
      </c>
      <c r="E36" s="2" t="s">
        <v>44</v>
      </c>
      <c r="F36" s="15">
        <v>26</v>
      </c>
      <c r="G36" s="17">
        <v>27</v>
      </c>
      <c r="H36" s="1">
        <f t="shared" si="0"/>
        <v>26.5</v>
      </c>
      <c r="I36" s="40"/>
      <c r="J36" s="2">
        <v>270</v>
      </c>
      <c r="K36" s="11">
        <v>6</v>
      </c>
      <c r="L36" s="11">
        <v>26</v>
      </c>
      <c r="M36" s="11">
        <v>0</v>
      </c>
      <c r="N36" s="11"/>
      <c r="O36" s="46"/>
      <c r="P36" s="38">
        <f aca="true" t="shared" si="15" ref="P36:P80">COS(K36*PI()/180)*SIN(J36*PI()/180)*(SIN((M36)*PI()/180))-(COS((M36)*PI()/180)*SIN(L36*PI()/180))*(SIN(K36*PI()/180))</f>
        <v>-0.0458222623147412</v>
      </c>
      <c r="Q36" s="38">
        <f aca="true" t="shared" si="16" ref="Q36:Q80">(SIN(K36*PI()/180))*(COS((M36)*PI()/180)*COS(L36*PI()/180))-(SIN((M36)*PI()/180))*(COS(K36*PI()/180)*COS(J36*PI()/180))</f>
        <v>0.09394956045376811</v>
      </c>
      <c r="R36" s="38">
        <f aca="true" t="shared" si="17" ref="R36:R80">(COS(K36*PI()/180)*COS(J36*PI()/180))*(COS((M36)*PI()/180)*SIN(L36*PI()/180))-(COS(K36*PI()/180)*SIN(J36*PI()/180))*(COS((M36)*PI()/180)*COS(L36*PI()/180))</f>
        <v>0.893870358471167</v>
      </c>
      <c r="S36" s="62">
        <f aca="true" t="shared" si="18" ref="S36:S80">IF(P36=0,IF(Q36&gt;=0,90,270),IF(P36&gt;0,IF(Q36&gt;=0,ATAN(Q36/P36)*180/PI(),ATAN(Q36/P36)*180/PI()+360),ATAN(Q36/P36)*180/PI()+180))</f>
        <v>116</v>
      </c>
      <c r="T36" s="12">
        <f aca="true" t="shared" si="19" ref="T36:T80">ASIN(R36/SQRT(P36^2+Q36^2+R36^2))*180/PI()</f>
        <v>83.33017146182368</v>
      </c>
      <c r="U36" s="22">
        <f aca="true" t="shared" si="20" ref="U36:U80">IF(R36&lt;0,S36,IF(S36+180&gt;=360,S36-180,S36+180))</f>
        <v>296</v>
      </c>
      <c r="V36" s="12">
        <f aca="true" t="shared" si="21" ref="V36:V80">IF(U36-90&lt;0,U36+270,U36-90)</f>
        <v>206</v>
      </c>
      <c r="W36" s="23">
        <f aca="true" t="shared" si="22" ref="W36:W80">IF(R36&lt;0,90+T36,90-T36)</f>
        <v>6.6698285381763185</v>
      </c>
      <c r="X36" s="65"/>
      <c r="Y36" s="66"/>
      <c r="Z36" s="27"/>
      <c r="AA36" s="2"/>
      <c r="AB36" s="11"/>
      <c r="AC36" s="83">
        <v>253.8</v>
      </c>
      <c r="AD36" s="84">
        <v>60.8</v>
      </c>
      <c r="AE36" s="22">
        <f aca="true" t="shared" si="23" ref="AE36:AE80">IF(AD36&gt;=0,IF(U36&gt;=AC36,U36-AC36,U36-AC36+360),IF((U36-AC36-180)&lt;0,IF(U36-AC36+180&lt;0,U36-AC36+540,U36-AC36+180),U36-AC36-180))</f>
        <v>42.19999999999999</v>
      </c>
      <c r="AF36" s="12">
        <f aca="true" t="shared" si="24" ref="AF36:AF80">IF(AE36-90&lt;0,AE36+270,AE36-90)</f>
        <v>312.2</v>
      </c>
      <c r="AG36" s="12">
        <f aca="true" t="shared" si="25" ref="AG36:AG80">W36</f>
        <v>6.6698285381763185</v>
      </c>
      <c r="AH36" s="48"/>
      <c r="AI36" s="27"/>
    </row>
    <row r="37" spans="1:35" ht="12.75" customHeight="1">
      <c r="A37" s="89">
        <f>H37/100+21</f>
        <v>21.39</v>
      </c>
      <c r="B37" s="90" t="s">
        <v>49</v>
      </c>
      <c r="C37" s="1" t="s">
        <v>45</v>
      </c>
      <c r="D37" s="1">
        <v>1</v>
      </c>
      <c r="E37" s="2" t="s">
        <v>44</v>
      </c>
      <c r="F37" s="15">
        <v>38.5</v>
      </c>
      <c r="G37" s="17">
        <v>39.5</v>
      </c>
      <c r="H37" s="11">
        <f t="shared" si="0"/>
        <v>39</v>
      </c>
      <c r="I37" s="40"/>
      <c r="J37" s="2">
        <v>90</v>
      </c>
      <c r="K37" s="11">
        <v>6</v>
      </c>
      <c r="L37" s="11">
        <v>180</v>
      </c>
      <c r="M37" s="11">
        <v>11</v>
      </c>
      <c r="N37" s="11"/>
      <c r="O37" s="46"/>
      <c r="P37" s="38">
        <f t="shared" si="15"/>
        <v>0.18976372373519743</v>
      </c>
      <c r="Q37" s="38">
        <f t="shared" si="16"/>
        <v>-0.10260798098753927</v>
      </c>
      <c r="R37" s="38">
        <f t="shared" si="17"/>
        <v>0.9762497270273904</v>
      </c>
      <c r="S37" s="62">
        <f t="shared" si="18"/>
        <v>331.59927147242325</v>
      </c>
      <c r="T37" s="12">
        <f t="shared" si="19"/>
        <v>77.5392271015405</v>
      </c>
      <c r="U37" s="22">
        <f t="shared" si="20"/>
        <v>151.59927147242325</v>
      </c>
      <c r="V37" s="12">
        <f t="shared" si="21"/>
        <v>61.599271472423254</v>
      </c>
      <c r="W37" s="23">
        <f t="shared" si="22"/>
        <v>12.460772898459496</v>
      </c>
      <c r="X37" s="65"/>
      <c r="Y37" s="66"/>
      <c r="Z37" s="27"/>
      <c r="AA37" s="2"/>
      <c r="AB37" s="11"/>
      <c r="AC37" s="83">
        <v>4.9</v>
      </c>
      <c r="AD37" s="84">
        <v>44.2</v>
      </c>
      <c r="AE37" s="22">
        <f t="shared" si="23"/>
        <v>146.69927147242325</v>
      </c>
      <c r="AF37" s="12">
        <f t="shared" si="24"/>
        <v>56.69927147242325</v>
      </c>
      <c r="AG37" s="12">
        <f t="shared" si="25"/>
        <v>12.460772898459496</v>
      </c>
      <c r="AH37" s="48"/>
      <c r="AI37" s="27"/>
    </row>
    <row r="38" spans="1:35" ht="12.75" customHeight="1">
      <c r="A38" s="89">
        <f>H38/100+21.001</f>
        <v>21.706</v>
      </c>
      <c r="B38" s="90" t="s">
        <v>47</v>
      </c>
      <c r="C38" s="1" t="s">
        <v>46</v>
      </c>
      <c r="D38" s="1">
        <v>10</v>
      </c>
      <c r="E38" s="2" t="s">
        <v>44</v>
      </c>
      <c r="F38" s="15">
        <v>70</v>
      </c>
      <c r="G38" s="17">
        <v>71</v>
      </c>
      <c r="H38" s="1">
        <f t="shared" si="0"/>
        <v>70.5</v>
      </c>
      <c r="I38" s="40"/>
      <c r="J38" s="2">
        <v>270</v>
      </c>
      <c r="K38" s="11">
        <v>10</v>
      </c>
      <c r="L38" s="11">
        <v>310</v>
      </c>
      <c r="M38" s="11">
        <v>0</v>
      </c>
      <c r="N38" s="11"/>
      <c r="O38" s="46"/>
      <c r="P38" s="38">
        <f t="shared" si="15"/>
        <v>0.133022221559489</v>
      </c>
      <c r="Q38" s="38">
        <f t="shared" si="16"/>
        <v>0.11161889704894963</v>
      </c>
      <c r="R38" s="38">
        <f t="shared" si="17"/>
        <v>0.6330222215594891</v>
      </c>
      <c r="S38" s="62">
        <f t="shared" si="18"/>
        <v>39.99999999999999</v>
      </c>
      <c r="T38" s="12">
        <f t="shared" si="19"/>
        <v>74.66018550081202</v>
      </c>
      <c r="U38" s="22">
        <f t="shared" si="20"/>
        <v>220</v>
      </c>
      <c r="V38" s="12">
        <f t="shared" si="21"/>
        <v>130</v>
      </c>
      <c r="W38" s="23">
        <f t="shared" si="22"/>
        <v>15.33981449918798</v>
      </c>
      <c r="X38" s="65"/>
      <c r="Y38" s="66"/>
      <c r="Z38" s="27"/>
      <c r="AA38" s="2"/>
      <c r="AB38" s="11"/>
      <c r="AC38" s="83">
        <v>199</v>
      </c>
      <c r="AD38" s="84">
        <v>80.7</v>
      </c>
      <c r="AE38" s="22">
        <f t="shared" si="23"/>
        <v>21</v>
      </c>
      <c r="AF38" s="12">
        <f t="shared" si="24"/>
        <v>291</v>
      </c>
      <c r="AG38" s="12">
        <f t="shared" si="25"/>
        <v>15.33981449918798</v>
      </c>
      <c r="AH38" s="48"/>
      <c r="AI38" s="27"/>
    </row>
    <row r="39" spans="1:35" ht="12.75" customHeight="1">
      <c r="A39" s="89">
        <f>H39/100+21</f>
        <v>22.035</v>
      </c>
      <c r="B39" s="90" t="s">
        <v>49</v>
      </c>
      <c r="C39" s="1" t="s">
        <v>45</v>
      </c>
      <c r="D39" s="1">
        <v>1</v>
      </c>
      <c r="E39" s="2" t="s">
        <v>44</v>
      </c>
      <c r="F39" s="15">
        <v>103</v>
      </c>
      <c r="G39" s="17">
        <v>104</v>
      </c>
      <c r="H39" s="11">
        <f t="shared" si="0"/>
        <v>103.5</v>
      </c>
      <c r="I39" s="40"/>
      <c r="J39" s="2">
        <v>90</v>
      </c>
      <c r="K39" s="11">
        <v>8</v>
      </c>
      <c r="L39" s="11">
        <v>180</v>
      </c>
      <c r="M39" s="11">
        <v>3</v>
      </c>
      <c r="N39" s="11"/>
      <c r="O39" s="46"/>
      <c r="P39" s="38">
        <f t="shared" si="15"/>
        <v>0.051826626314443305</v>
      </c>
      <c r="Q39" s="38">
        <f t="shared" si="16"/>
        <v>-0.13898236906210149</v>
      </c>
      <c r="R39" s="38">
        <f t="shared" si="17"/>
        <v>0.9889109407697048</v>
      </c>
      <c r="S39" s="62">
        <f t="shared" si="18"/>
        <v>290.4505219501267</v>
      </c>
      <c r="T39" s="12">
        <f t="shared" si="19"/>
        <v>81.46955163874233</v>
      </c>
      <c r="U39" s="22">
        <f t="shared" si="20"/>
        <v>110.4505219501267</v>
      </c>
      <c r="V39" s="12">
        <f t="shared" si="21"/>
        <v>20.4505219501267</v>
      </c>
      <c r="W39" s="23">
        <f t="shared" si="22"/>
        <v>8.530448361257669</v>
      </c>
      <c r="X39" s="65"/>
      <c r="Y39" s="66"/>
      <c r="Z39" s="27"/>
      <c r="AA39" s="2"/>
      <c r="AB39" s="11"/>
      <c r="AC39" s="83">
        <v>4.9</v>
      </c>
      <c r="AD39" s="84">
        <v>44.2</v>
      </c>
      <c r="AE39" s="22">
        <f t="shared" si="23"/>
        <v>105.5505219501267</v>
      </c>
      <c r="AF39" s="12">
        <f t="shared" si="24"/>
        <v>15.550521950126694</v>
      </c>
      <c r="AG39" s="12">
        <f t="shared" si="25"/>
        <v>8.530448361257669</v>
      </c>
      <c r="AH39" s="48"/>
      <c r="AI39" s="27"/>
    </row>
    <row r="40" spans="1:35" ht="12.75" customHeight="1">
      <c r="A40" s="89">
        <f>H40/100+22.326</f>
        <v>23.0685</v>
      </c>
      <c r="B40" s="90" t="s">
        <v>49</v>
      </c>
      <c r="C40" s="1" t="s">
        <v>45</v>
      </c>
      <c r="D40" s="1">
        <v>2</v>
      </c>
      <c r="E40" s="2" t="s">
        <v>44</v>
      </c>
      <c r="F40" s="15">
        <v>73.5</v>
      </c>
      <c r="G40" s="17">
        <v>75</v>
      </c>
      <c r="H40" s="11">
        <f t="shared" si="0"/>
        <v>74.25</v>
      </c>
      <c r="I40" s="40"/>
      <c r="J40" s="2">
        <v>90</v>
      </c>
      <c r="K40" s="11">
        <v>12</v>
      </c>
      <c r="L40" s="11">
        <v>0</v>
      </c>
      <c r="M40" s="11">
        <v>1</v>
      </c>
      <c r="N40" s="11"/>
      <c r="O40" s="46"/>
      <c r="P40" s="38">
        <f t="shared" si="15"/>
        <v>0.017071029483660093</v>
      </c>
      <c r="Q40" s="38">
        <f t="shared" si="16"/>
        <v>0.20788002486020488</v>
      </c>
      <c r="R40" s="38">
        <f t="shared" si="17"/>
        <v>-0.9779986241164497</v>
      </c>
      <c r="S40" s="62">
        <f t="shared" si="18"/>
        <v>85.305426045184</v>
      </c>
      <c r="T40" s="12">
        <f t="shared" si="19"/>
        <v>-77.96078282984094</v>
      </c>
      <c r="U40" s="22">
        <f t="shared" si="20"/>
        <v>85.305426045184</v>
      </c>
      <c r="V40" s="12">
        <f t="shared" si="21"/>
        <v>355.305426045184</v>
      </c>
      <c r="W40" s="23">
        <f t="shared" si="22"/>
        <v>12.039217170159063</v>
      </c>
      <c r="X40" s="65"/>
      <c r="Y40" s="66"/>
      <c r="Z40" s="27"/>
      <c r="AA40" s="2"/>
      <c r="AB40" s="11"/>
      <c r="AC40" s="83">
        <v>4.9</v>
      </c>
      <c r="AD40" s="84">
        <v>44.2</v>
      </c>
      <c r="AE40" s="22">
        <f t="shared" si="23"/>
        <v>80.405426045184</v>
      </c>
      <c r="AF40" s="12">
        <f t="shared" si="24"/>
        <v>350.405426045184</v>
      </c>
      <c r="AG40" s="12">
        <f t="shared" si="25"/>
        <v>12.039217170159063</v>
      </c>
      <c r="AH40" s="48"/>
      <c r="AI40" s="27"/>
    </row>
    <row r="41" spans="1:35" ht="12.75" customHeight="1">
      <c r="A41" s="89">
        <f>H41/100+23.653</f>
        <v>24.317999999999998</v>
      </c>
      <c r="B41" s="90" t="s">
        <v>49</v>
      </c>
      <c r="C41" s="1" t="s">
        <v>45</v>
      </c>
      <c r="D41" s="1">
        <v>3</v>
      </c>
      <c r="E41" s="2" t="s">
        <v>44</v>
      </c>
      <c r="F41" s="15">
        <v>66</v>
      </c>
      <c r="G41" s="17">
        <v>67</v>
      </c>
      <c r="H41" s="11">
        <f t="shared" si="0"/>
        <v>66.5</v>
      </c>
      <c r="I41" s="40"/>
      <c r="J41" s="2">
        <v>90</v>
      </c>
      <c r="K41" s="11">
        <v>10</v>
      </c>
      <c r="L41" s="11">
        <v>180</v>
      </c>
      <c r="M41" s="11">
        <v>8</v>
      </c>
      <c r="N41" s="11"/>
      <c r="O41" s="46"/>
      <c r="P41" s="38">
        <f t="shared" si="15"/>
        <v>0.13705874883622318</v>
      </c>
      <c r="Q41" s="38">
        <f t="shared" si="16"/>
        <v>-0.17195824553872419</v>
      </c>
      <c r="R41" s="38">
        <f t="shared" si="17"/>
        <v>0.9752236716571246</v>
      </c>
      <c r="S41" s="62">
        <f t="shared" si="18"/>
        <v>308.5564810155944</v>
      </c>
      <c r="T41" s="12">
        <f t="shared" si="19"/>
        <v>77.29323689420146</v>
      </c>
      <c r="U41" s="22">
        <f t="shared" si="20"/>
        <v>128.5564810155944</v>
      </c>
      <c r="V41" s="12">
        <f t="shared" si="21"/>
        <v>38.556481015594386</v>
      </c>
      <c r="W41" s="23">
        <f t="shared" si="22"/>
        <v>12.706763105798544</v>
      </c>
      <c r="X41" s="65"/>
      <c r="Y41" s="66"/>
      <c r="Z41" s="27"/>
      <c r="AA41" s="2"/>
      <c r="AB41" s="11"/>
      <c r="AC41" s="83">
        <v>4.9</v>
      </c>
      <c r="AD41" s="84">
        <v>44.2</v>
      </c>
      <c r="AE41" s="22">
        <f t="shared" si="23"/>
        <v>123.65648101559438</v>
      </c>
      <c r="AF41" s="12">
        <f t="shared" si="24"/>
        <v>33.65648101559438</v>
      </c>
      <c r="AG41" s="12">
        <f t="shared" si="25"/>
        <v>12.706763105798544</v>
      </c>
      <c r="AH41" s="48"/>
      <c r="AI41" s="27"/>
    </row>
    <row r="42" spans="1:35" ht="12.75" customHeight="1">
      <c r="A42" s="89">
        <f>H42/100+25.186</f>
        <v>25.5435</v>
      </c>
      <c r="B42" s="90" t="s">
        <v>49</v>
      </c>
      <c r="C42" s="1" t="s">
        <v>45</v>
      </c>
      <c r="D42" s="1">
        <v>5</v>
      </c>
      <c r="E42" s="2" t="s">
        <v>44</v>
      </c>
      <c r="F42" s="15">
        <v>35</v>
      </c>
      <c r="G42" s="17">
        <v>36.5</v>
      </c>
      <c r="H42" s="11">
        <f t="shared" si="0"/>
        <v>35.75</v>
      </c>
      <c r="I42" s="40"/>
      <c r="J42" s="2">
        <v>90</v>
      </c>
      <c r="K42" s="11">
        <v>14</v>
      </c>
      <c r="L42" s="11">
        <v>180</v>
      </c>
      <c r="M42" s="11">
        <v>4</v>
      </c>
      <c r="N42" s="11"/>
      <c r="O42" s="46"/>
      <c r="P42" s="38">
        <f t="shared" si="15"/>
        <v>0.06768440835400852</v>
      </c>
      <c r="Q42" s="38">
        <f t="shared" si="16"/>
        <v>-0.24133258602093888</v>
      </c>
      <c r="R42" s="38">
        <f t="shared" si="17"/>
        <v>0.9679321346536808</v>
      </c>
      <c r="S42" s="62">
        <f t="shared" si="18"/>
        <v>285.6667432111557</v>
      </c>
      <c r="T42" s="12">
        <f t="shared" si="19"/>
        <v>75.48224174603351</v>
      </c>
      <c r="U42" s="22">
        <f t="shared" si="20"/>
        <v>105.66674321115568</v>
      </c>
      <c r="V42" s="12">
        <f t="shared" si="21"/>
        <v>15.666743211155676</v>
      </c>
      <c r="W42" s="23">
        <f t="shared" si="22"/>
        <v>14.517758253966491</v>
      </c>
      <c r="X42" s="65"/>
      <c r="Y42" s="66"/>
      <c r="Z42" s="27"/>
      <c r="AA42" s="2"/>
      <c r="AB42" s="11"/>
      <c r="AC42" s="83">
        <v>4.9</v>
      </c>
      <c r="AD42" s="84">
        <v>44.2</v>
      </c>
      <c r="AE42" s="22">
        <f t="shared" si="23"/>
        <v>100.76674321115567</v>
      </c>
      <c r="AF42" s="12">
        <f t="shared" si="24"/>
        <v>10.76674321115567</v>
      </c>
      <c r="AG42" s="12">
        <f t="shared" si="25"/>
        <v>14.517758253966491</v>
      </c>
      <c r="AH42" s="48"/>
      <c r="AI42" s="27"/>
    </row>
    <row r="43" spans="1:35" ht="12.75" customHeight="1">
      <c r="A43" s="89">
        <f>H43/100+25.186</f>
        <v>26.3245</v>
      </c>
      <c r="B43" s="90" t="s">
        <v>49</v>
      </c>
      <c r="C43" s="1" t="s">
        <v>45</v>
      </c>
      <c r="D43" s="1">
        <v>5</v>
      </c>
      <c r="E43" s="2" t="s">
        <v>44</v>
      </c>
      <c r="F43" s="15">
        <v>113.7</v>
      </c>
      <c r="G43" s="17">
        <v>114</v>
      </c>
      <c r="H43" s="11">
        <f t="shared" si="0"/>
        <v>113.85</v>
      </c>
      <c r="I43" s="40"/>
      <c r="J43" s="2">
        <v>90</v>
      </c>
      <c r="K43" s="11">
        <v>3</v>
      </c>
      <c r="L43" s="11">
        <v>0</v>
      </c>
      <c r="M43" s="11">
        <v>2</v>
      </c>
      <c r="N43" s="11"/>
      <c r="O43" s="46"/>
      <c r="P43" s="38">
        <f t="shared" si="15"/>
        <v>0.034851668155187324</v>
      </c>
      <c r="Q43" s="38">
        <f t="shared" si="16"/>
        <v>0.05230407459247084</v>
      </c>
      <c r="R43" s="38">
        <f t="shared" si="17"/>
        <v>-0.9980211966240684</v>
      </c>
      <c r="S43" s="62">
        <f t="shared" si="18"/>
        <v>56.32336918625156</v>
      </c>
      <c r="T43" s="12">
        <f t="shared" si="19"/>
        <v>-86.39647307521291</v>
      </c>
      <c r="U43" s="22">
        <f t="shared" si="20"/>
        <v>56.32336918625156</v>
      </c>
      <c r="V43" s="12">
        <f t="shared" si="21"/>
        <v>326.32336918625157</v>
      </c>
      <c r="W43" s="23">
        <f t="shared" si="22"/>
        <v>3.60352692478709</v>
      </c>
      <c r="X43" s="65"/>
      <c r="Y43" s="66"/>
      <c r="Z43" s="27"/>
      <c r="AA43" s="2"/>
      <c r="AB43" s="11"/>
      <c r="AC43" s="83">
        <v>4.9</v>
      </c>
      <c r="AD43" s="84">
        <v>44.2</v>
      </c>
      <c r="AE43" s="22">
        <f t="shared" si="23"/>
        <v>51.42336918625156</v>
      </c>
      <c r="AF43" s="12">
        <f t="shared" si="24"/>
        <v>321.42336918625153</v>
      </c>
      <c r="AG43" s="12">
        <f t="shared" si="25"/>
        <v>3.60352692478709</v>
      </c>
      <c r="AH43" s="48"/>
      <c r="AI43" s="27"/>
    </row>
    <row r="44" spans="1:35" ht="12.75" customHeight="1">
      <c r="A44" s="89">
        <f>H44/100+26.714</f>
        <v>26.7865</v>
      </c>
      <c r="B44" s="90" t="s">
        <v>49</v>
      </c>
      <c r="C44" s="1" t="s">
        <v>45</v>
      </c>
      <c r="D44" s="1">
        <v>7</v>
      </c>
      <c r="E44" s="2" t="s">
        <v>44</v>
      </c>
      <c r="F44" s="15">
        <v>6.5</v>
      </c>
      <c r="G44" s="17">
        <v>8</v>
      </c>
      <c r="H44" s="11">
        <f t="shared" si="0"/>
        <v>7.25</v>
      </c>
      <c r="I44" s="40"/>
      <c r="J44" s="2">
        <v>90</v>
      </c>
      <c r="K44" s="11">
        <v>12</v>
      </c>
      <c r="L44" s="11">
        <v>180</v>
      </c>
      <c r="M44" s="11">
        <v>26</v>
      </c>
      <c r="N44" s="11"/>
      <c r="O44" s="46"/>
      <c r="P44" s="38">
        <f t="shared" si="15"/>
        <v>0.428791685462663</v>
      </c>
      <c r="Q44" s="38">
        <f t="shared" si="16"/>
        <v>-0.1868697898629953</v>
      </c>
      <c r="R44" s="38">
        <f t="shared" si="17"/>
        <v>0.8791532399413593</v>
      </c>
      <c r="S44" s="62">
        <f t="shared" si="18"/>
        <v>336.4521612723738</v>
      </c>
      <c r="T44" s="12">
        <f t="shared" si="19"/>
        <v>61.98537027919317</v>
      </c>
      <c r="U44" s="22">
        <f t="shared" si="20"/>
        <v>156.45216127237381</v>
      </c>
      <c r="V44" s="12">
        <f t="shared" si="21"/>
        <v>66.45216127237381</v>
      </c>
      <c r="W44" s="23">
        <f t="shared" si="22"/>
        <v>28.01462972080683</v>
      </c>
      <c r="X44" s="65"/>
      <c r="Y44" s="66"/>
      <c r="Z44" s="27"/>
      <c r="AA44" s="2"/>
      <c r="AB44" s="11"/>
      <c r="AC44" s="83">
        <v>4.9</v>
      </c>
      <c r="AD44" s="84">
        <v>44.2</v>
      </c>
      <c r="AE44" s="22">
        <f t="shared" si="23"/>
        <v>151.5521612723738</v>
      </c>
      <c r="AF44" s="12">
        <f t="shared" si="24"/>
        <v>61.55216127237381</v>
      </c>
      <c r="AG44" s="12">
        <f t="shared" si="25"/>
        <v>28.01462972080683</v>
      </c>
      <c r="AH44" s="48"/>
      <c r="AI44" s="27"/>
    </row>
    <row r="45" spans="1:35" ht="12.75" customHeight="1">
      <c r="A45" s="89">
        <f>H45/100+26.714</f>
        <v>26.904</v>
      </c>
      <c r="B45" s="90" t="s">
        <v>49</v>
      </c>
      <c r="C45" s="1" t="s">
        <v>45</v>
      </c>
      <c r="D45" s="1">
        <v>7</v>
      </c>
      <c r="E45" s="2" t="s">
        <v>44</v>
      </c>
      <c r="F45" s="15">
        <v>18</v>
      </c>
      <c r="G45" s="17">
        <v>20</v>
      </c>
      <c r="H45" s="11">
        <f t="shared" si="0"/>
        <v>19</v>
      </c>
      <c r="I45" s="40"/>
      <c r="J45" s="2">
        <v>90</v>
      </c>
      <c r="K45" s="11">
        <v>15</v>
      </c>
      <c r="L45" s="11">
        <v>180</v>
      </c>
      <c r="M45" s="11">
        <v>28</v>
      </c>
      <c r="N45" s="11"/>
      <c r="O45" s="46"/>
      <c r="P45" s="38">
        <f t="shared" si="15"/>
        <v>0.4534747072031817</v>
      </c>
      <c r="Q45" s="38">
        <f t="shared" si="16"/>
        <v>-0.22852365285931678</v>
      </c>
      <c r="R45" s="38">
        <f t="shared" si="17"/>
        <v>0.8528618832022029</v>
      </c>
      <c r="S45" s="62">
        <f t="shared" si="18"/>
        <v>333.254676699105</v>
      </c>
      <c r="T45" s="12">
        <f t="shared" si="19"/>
        <v>59.23005733278962</v>
      </c>
      <c r="U45" s="22">
        <f t="shared" si="20"/>
        <v>153.254676699105</v>
      </c>
      <c r="V45" s="12">
        <f t="shared" si="21"/>
        <v>63.254676699105005</v>
      </c>
      <c r="W45" s="23">
        <f t="shared" si="22"/>
        <v>30.76994266721038</v>
      </c>
      <c r="X45" s="65"/>
      <c r="Y45" s="66"/>
      <c r="Z45" s="27"/>
      <c r="AA45" s="2"/>
      <c r="AB45" s="11"/>
      <c r="AC45" s="83">
        <v>4.9</v>
      </c>
      <c r="AD45" s="84">
        <v>44.2</v>
      </c>
      <c r="AE45" s="22">
        <f t="shared" si="23"/>
        <v>148.354676699105</v>
      </c>
      <c r="AF45" s="12">
        <f t="shared" si="24"/>
        <v>58.354676699105</v>
      </c>
      <c r="AG45" s="12">
        <f t="shared" si="25"/>
        <v>30.76994266721038</v>
      </c>
      <c r="AH45" s="48"/>
      <c r="AI45" s="27"/>
    </row>
    <row r="46" spans="1:35" ht="12.75" customHeight="1">
      <c r="A46" s="89">
        <f>H46/100+27.838</f>
        <v>29.003</v>
      </c>
      <c r="B46" s="90" t="s">
        <v>49</v>
      </c>
      <c r="C46" s="1" t="s">
        <v>45</v>
      </c>
      <c r="D46" s="1">
        <v>8</v>
      </c>
      <c r="E46" s="2" t="s">
        <v>44</v>
      </c>
      <c r="F46" s="15">
        <v>116</v>
      </c>
      <c r="G46" s="17">
        <v>117</v>
      </c>
      <c r="H46" s="11">
        <f t="shared" si="0"/>
        <v>116.5</v>
      </c>
      <c r="I46" s="40"/>
      <c r="J46" s="2">
        <v>90</v>
      </c>
      <c r="K46" s="11">
        <v>11</v>
      </c>
      <c r="L46" s="11">
        <v>180</v>
      </c>
      <c r="M46" s="11">
        <v>21</v>
      </c>
      <c r="N46" s="11"/>
      <c r="O46" s="46"/>
      <c r="P46" s="38">
        <f t="shared" si="15"/>
        <v>0.35178372095006766</v>
      </c>
      <c r="Q46" s="38">
        <f t="shared" si="16"/>
        <v>-0.17813554328313733</v>
      </c>
      <c r="R46" s="38">
        <f t="shared" si="17"/>
        <v>0.916427924584317</v>
      </c>
      <c r="S46" s="62">
        <f t="shared" si="18"/>
        <v>333.14334848198234</v>
      </c>
      <c r="T46" s="12">
        <f t="shared" si="19"/>
        <v>66.71907045931044</v>
      </c>
      <c r="U46" s="22">
        <f t="shared" si="20"/>
        <v>153.14334848198234</v>
      </c>
      <c r="V46" s="12">
        <f t="shared" si="21"/>
        <v>63.14334848198234</v>
      </c>
      <c r="W46" s="23">
        <f t="shared" si="22"/>
        <v>23.280929540689556</v>
      </c>
      <c r="X46" s="65"/>
      <c r="Y46" s="66"/>
      <c r="Z46" s="27"/>
      <c r="AA46" s="2"/>
      <c r="AB46" s="11"/>
      <c r="AC46" s="83">
        <v>4.9</v>
      </c>
      <c r="AD46" s="84">
        <v>44.2</v>
      </c>
      <c r="AE46" s="22">
        <f t="shared" si="23"/>
        <v>148.24334848198234</v>
      </c>
      <c r="AF46" s="12">
        <f t="shared" si="24"/>
        <v>58.24334848198234</v>
      </c>
      <c r="AG46" s="12">
        <f t="shared" si="25"/>
        <v>23.280929540689556</v>
      </c>
      <c r="AH46" s="48"/>
      <c r="AI46" s="27"/>
    </row>
    <row r="47" spans="1:35" ht="12.75" customHeight="1">
      <c r="A47" s="89">
        <f>H47/100+29.174</f>
        <v>29.774</v>
      </c>
      <c r="B47" s="90" t="s">
        <v>49</v>
      </c>
      <c r="C47" s="1" t="s">
        <v>45</v>
      </c>
      <c r="D47" s="1">
        <v>9</v>
      </c>
      <c r="E47" s="2" t="s">
        <v>44</v>
      </c>
      <c r="F47" s="15">
        <v>59.5</v>
      </c>
      <c r="G47" s="17">
        <v>60.5</v>
      </c>
      <c r="H47" s="11">
        <f t="shared" si="0"/>
        <v>60</v>
      </c>
      <c r="I47" s="40"/>
      <c r="J47" s="2">
        <v>90</v>
      </c>
      <c r="K47" s="11">
        <v>15</v>
      </c>
      <c r="L47" s="11">
        <v>180</v>
      </c>
      <c r="M47" s="11">
        <v>34</v>
      </c>
      <c r="N47" s="11"/>
      <c r="O47" s="46"/>
      <c r="P47" s="38">
        <f t="shared" si="15"/>
        <v>0.5401388673399644</v>
      </c>
      <c r="Q47" s="38">
        <f t="shared" si="16"/>
        <v>-0.21457071288280766</v>
      </c>
      <c r="R47" s="38">
        <f t="shared" si="17"/>
        <v>0.800788802294912</v>
      </c>
      <c r="S47" s="62">
        <f t="shared" si="18"/>
        <v>338.3344995060341</v>
      </c>
      <c r="T47" s="12">
        <f t="shared" si="19"/>
        <v>54.02855647106086</v>
      </c>
      <c r="U47" s="22">
        <f t="shared" si="20"/>
        <v>158.3344995060341</v>
      </c>
      <c r="V47" s="12">
        <f t="shared" si="21"/>
        <v>68.33449950603409</v>
      </c>
      <c r="W47" s="23">
        <f t="shared" si="22"/>
        <v>35.97144352893914</v>
      </c>
      <c r="X47" s="65"/>
      <c r="Y47" s="66"/>
      <c r="Z47" s="27"/>
      <c r="AA47" s="2"/>
      <c r="AB47" s="11"/>
      <c r="AC47" s="83">
        <v>4.9</v>
      </c>
      <c r="AD47" s="84">
        <v>44.2</v>
      </c>
      <c r="AE47" s="22">
        <f t="shared" si="23"/>
        <v>153.4344995060341</v>
      </c>
      <c r="AF47" s="12">
        <f t="shared" si="24"/>
        <v>63.434499506034086</v>
      </c>
      <c r="AG47" s="12">
        <f t="shared" si="25"/>
        <v>35.97144352893914</v>
      </c>
      <c r="AH47" s="48"/>
      <c r="AI47" s="27"/>
    </row>
    <row r="48" spans="1:39" ht="12.75" customHeight="1">
      <c r="A48" s="89">
        <f>H48/100+30.5</f>
        <v>31.015</v>
      </c>
      <c r="B48" s="90" t="s">
        <v>49</v>
      </c>
      <c r="C48" s="1" t="s">
        <v>48</v>
      </c>
      <c r="D48" s="1">
        <v>1</v>
      </c>
      <c r="E48" s="76" t="s">
        <v>63</v>
      </c>
      <c r="F48" s="15">
        <v>35</v>
      </c>
      <c r="G48" s="17">
        <v>68</v>
      </c>
      <c r="H48" s="11">
        <f t="shared" si="0"/>
        <v>51.5</v>
      </c>
      <c r="I48" s="40"/>
      <c r="J48" s="2">
        <v>90</v>
      </c>
      <c r="K48" s="11">
        <v>76</v>
      </c>
      <c r="L48" s="11">
        <v>0</v>
      </c>
      <c r="M48" s="11">
        <v>79</v>
      </c>
      <c r="N48" s="11"/>
      <c r="O48" s="46"/>
      <c r="P48" s="38">
        <f t="shared" si="15"/>
        <v>0.2374771089918218</v>
      </c>
      <c r="Q48" s="38">
        <f t="shared" si="16"/>
        <v>0.18514115274887788</v>
      </c>
      <c r="R48" s="38">
        <f t="shared" si="17"/>
        <v>-0.04616087385896201</v>
      </c>
      <c r="S48" s="62">
        <f t="shared" si="18"/>
        <v>37.940579010057206</v>
      </c>
      <c r="T48" s="12">
        <f t="shared" si="19"/>
        <v>-8.715467970113803</v>
      </c>
      <c r="U48" s="22">
        <f t="shared" si="20"/>
        <v>37.940579010057206</v>
      </c>
      <c r="V48" s="12">
        <f t="shared" si="21"/>
        <v>307.9405790100572</v>
      </c>
      <c r="W48" s="23">
        <f t="shared" si="22"/>
        <v>81.2845320298862</v>
      </c>
      <c r="X48" s="65"/>
      <c r="Y48" s="66"/>
      <c r="Z48" s="27"/>
      <c r="AA48" s="2"/>
      <c r="AB48" s="11"/>
      <c r="AC48" s="31">
        <v>250.9</v>
      </c>
      <c r="AD48" s="32">
        <v>73.6</v>
      </c>
      <c r="AE48" s="22">
        <f t="shared" si="23"/>
        <v>147.0405790100572</v>
      </c>
      <c r="AF48" s="12">
        <f t="shared" si="24"/>
        <v>57.0405790100572</v>
      </c>
      <c r="AG48" s="12">
        <f t="shared" si="25"/>
        <v>81.2845320298862</v>
      </c>
      <c r="AH48" s="48"/>
      <c r="AI48" s="27"/>
      <c r="AL48" s="54"/>
      <c r="AM48" s="54"/>
    </row>
    <row r="49" spans="1:35" ht="12.75" customHeight="1">
      <c r="A49" s="89">
        <f>H49/100+30.5</f>
        <v>31.3475</v>
      </c>
      <c r="B49" s="90" t="s">
        <v>49</v>
      </c>
      <c r="C49" s="1" t="s">
        <v>48</v>
      </c>
      <c r="D49" s="1">
        <v>1</v>
      </c>
      <c r="E49" s="2" t="s">
        <v>44</v>
      </c>
      <c r="F49" s="15">
        <v>84</v>
      </c>
      <c r="G49" s="17">
        <v>85.5</v>
      </c>
      <c r="H49" s="11">
        <f t="shared" si="0"/>
        <v>84.75</v>
      </c>
      <c r="I49" s="40"/>
      <c r="J49" s="2">
        <v>90</v>
      </c>
      <c r="K49" s="11">
        <v>18</v>
      </c>
      <c r="L49" s="11">
        <v>0</v>
      </c>
      <c r="M49" s="11">
        <v>4</v>
      </c>
      <c r="N49" s="11"/>
      <c r="O49" s="46"/>
      <c r="P49" s="38">
        <f t="shared" si="15"/>
        <v>0.06634234890812216</v>
      </c>
      <c r="Q49" s="38">
        <f t="shared" si="16"/>
        <v>0.30826424450778983</v>
      </c>
      <c r="R49" s="38">
        <f t="shared" si="17"/>
        <v>-0.9487397904213919</v>
      </c>
      <c r="S49" s="62">
        <f t="shared" si="18"/>
        <v>77.85447756163599</v>
      </c>
      <c r="T49" s="12">
        <f t="shared" si="19"/>
        <v>-71.61530362186222</v>
      </c>
      <c r="U49" s="22">
        <f t="shared" si="20"/>
        <v>77.85447756163599</v>
      </c>
      <c r="V49" s="12">
        <f t="shared" si="21"/>
        <v>347.854477561636</v>
      </c>
      <c r="W49" s="23">
        <f t="shared" si="22"/>
        <v>18.384696378137775</v>
      </c>
      <c r="X49" s="65"/>
      <c r="Y49" s="66"/>
      <c r="Z49" s="27"/>
      <c r="AA49" s="2"/>
      <c r="AB49" s="11"/>
      <c r="AC49" s="31">
        <v>250.9</v>
      </c>
      <c r="AD49" s="32">
        <v>73.6</v>
      </c>
      <c r="AE49" s="22">
        <f t="shared" si="23"/>
        <v>186.954477561636</v>
      </c>
      <c r="AF49" s="12">
        <f t="shared" si="24"/>
        <v>96.954477561636</v>
      </c>
      <c r="AG49" s="12">
        <f t="shared" si="25"/>
        <v>18.384696378137775</v>
      </c>
      <c r="AH49" s="48"/>
      <c r="AI49" s="27"/>
    </row>
    <row r="50" spans="1:35" ht="12.75" customHeight="1">
      <c r="A50" s="89">
        <f>H51/100+31.857</f>
        <v>32.122</v>
      </c>
      <c r="B50" s="90" t="s">
        <v>49</v>
      </c>
      <c r="C50" s="1" t="s">
        <v>48</v>
      </c>
      <c r="D50" s="1">
        <v>2</v>
      </c>
      <c r="E50" s="2" t="s">
        <v>44</v>
      </c>
      <c r="F50" s="15">
        <v>38</v>
      </c>
      <c r="G50" s="17">
        <v>39</v>
      </c>
      <c r="H50" s="11">
        <f t="shared" si="0"/>
        <v>38.5</v>
      </c>
      <c r="I50" s="40"/>
      <c r="J50" s="2">
        <v>90</v>
      </c>
      <c r="K50" s="11">
        <v>10</v>
      </c>
      <c r="L50" s="11">
        <v>180</v>
      </c>
      <c r="M50" s="11">
        <v>2</v>
      </c>
      <c r="N50" s="11"/>
      <c r="O50" s="46"/>
      <c r="P50" s="38">
        <f t="shared" si="15"/>
        <v>0.034369294928846925</v>
      </c>
      <c r="Q50" s="38">
        <f t="shared" si="16"/>
        <v>-0.17354239588891238</v>
      </c>
      <c r="R50" s="38">
        <f t="shared" si="17"/>
        <v>0.9842078347376879</v>
      </c>
      <c r="S50" s="62">
        <f t="shared" si="18"/>
        <v>281.20221599881125</v>
      </c>
      <c r="T50" s="12">
        <f t="shared" si="19"/>
        <v>79.80980839139356</v>
      </c>
      <c r="U50" s="22">
        <f t="shared" si="20"/>
        <v>101.20221599881125</v>
      </c>
      <c r="V50" s="12">
        <f t="shared" si="21"/>
        <v>11.202215998811255</v>
      </c>
      <c r="W50" s="23">
        <f t="shared" si="22"/>
        <v>10.19019160860644</v>
      </c>
      <c r="X50" s="65"/>
      <c r="Y50" s="66"/>
      <c r="Z50" s="27"/>
      <c r="AA50" s="2"/>
      <c r="AB50" s="11"/>
      <c r="AC50" s="31">
        <v>250.9</v>
      </c>
      <c r="AD50" s="32">
        <v>73.6</v>
      </c>
      <c r="AE50" s="22">
        <f t="shared" si="23"/>
        <v>210.30221599881125</v>
      </c>
      <c r="AF50" s="12">
        <f t="shared" si="24"/>
        <v>120.30221599881125</v>
      </c>
      <c r="AG50" s="12">
        <f t="shared" si="25"/>
        <v>10.19019160860644</v>
      </c>
      <c r="AH50" s="48"/>
      <c r="AI50" s="27"/>
    </row>
    <row r="51" spans="1:39" ht="12.75" customHeight="1">
      <c r="A51" s="89">
        <f aca="true" t="shared" si="26" ref="A51:A56">H51/100+33.237</f>
        <v>33.502</v>
      </c>
      <c r="B51" s="90" t="s">
        <v>49</v>
      </c>
      <c r="C51" s="1" t="s">
        <v>48</v>
      </c>
      <c r="D51" s="1">
        <v>3</v>
      </c>
      <c r="E51" s="2" t="s">
        <v>50</v>
      </c>
      <c r="F51" s="15">
        <v>21</v>
      </c>
      <c r="G51" s="17">
        <v>32</v>
      </c>
      <c r="H51" s="11">
        <f t="shared" si="0"/>
        <v>26.5</v>
      </c>
      <c r="I51" s="40"/>
      <c r="J51" s="2">
        <v>270</v>
      </c>
      <c r="K51" s="11">
        <v>51</v>
      </c>
      <c r="L51" s="11">
        <v>39</v>
      </c>
      <c r="M51" s="11">
        <v>0</v>
      </c>
      <c r="N51" s="11"/>
      <c r="O51" s="46"/>
      <c r="P51" s="38">
        <f t="shared" si="15"/>
        <v>-0.48907380036690273</v>
      </c>
      <c r="Q51" s="38">
        <f t="shared" si="16"/>
        <v>0.6039558454088796</v>
      </c>
      <c r="R51" s="38">
        <f t="shared" si="17"/>
        <v>0.4890738003669028</v>
      </c>
      <c r="S51" s="62">
        <f t="shared" si="18"/>
        <v>129</v>
      </c>
      <c r="T51" s="12">
        <f t="shared" si="19"/>
        <v>32.18304408134254</v>
      </c>
      <c r="U51" s="22">
        <f t="shared" si="20"/>
        <v>309</v>
      </c>
      <c r="V51" s="12">
        <f t="shared" si="21"/>
        <v>219</v>
      </c>
      <c r="W51" s="23">
        <f t="shared" si="22"/>
        <v>57.81695591865746</v>
      </c>
      <c r="X51" s="65"/>
      <c r="Y51" s="66"/>
      <c r="Z51" s="27" t="s">
        <v>51</v>
      </c>
      <c r="AA51" s="2"/>
      <c r="AB51" s="11"/>
      <c r="AC51" s="31">
        <v>250.9</v>
      </c>
      <c r="AD51" s="32">
        <v>73.6</v>
      </c>
      <c r="AE51" s="22">
        <f t="shared" si="23"/>
        <v>58.099999999999994</v>
      </c>
      <c r="AF51" s="12">
        <f t="shared" si="24"/>
        <v>328.1</v>
      </c>
      <c r="AG51" s="12">
        <f t="shared" si="25"/>
        <v>57.81695591865746</v>
      </c>
      <c r="AH51" s="48"/>
      <c r="AI51" s="27" t="str">
        <f>Z51</f>
        <v>N</v>
      </c>
      <c r="AL51" s="54"/>
      <c r="AM51" s="54"/>
    </row>
    <row r="52" spans="1:39" ht="12.75" customHeight="1">
      <c r="A52" s="89">
        <f t="shared" si="26"/>
        <v>33.557</v>
      </c>
      <c r="B52" s="90" t="s">
        <v>49</v>
      </c>
      <c r="C52" s="1" t="s">
        <v>48</v>
      </c>
      <c r="D52" s="1">
        <v>3</v>
      </c>
      <c r="E52" s="2" t="s">
        <v>50</v>
      </c>
      <c r="F52" s="15">
        <v>27</v>
      </c>
      <c r="G52" s="17">
        <v>37</v>
      </c>
      <c r="H52" s="11">
        <f t="shared" si="0"/>
        <v>32</v>
      </c>
      <c r="I52" s="40"/>
      <c r="J52" s="2">
        <v>270</v>
      </c>
      <c r="K52" s="11">
        <v>34</v>
      </c>
      <c r="L52" s="11">
        <v>34</v>
      </c>
      <c r="M52" s="11">
        <v>0</v>
      </c>
      <c r="N52" s="11"/>
      <c r="O52" s="46"/>
      <c r="P52" s="38">
        <f t="shared" si="15"/>
        <v>-0.3126967032920441</v>
      </c>
      <c r="Q52" s="38">
        <f t="shared" si="16"/>
        <v>0.4635919272833937</v>
      </c>
      <c r="R52" s="38">
        <f t="shared" si="17"/>
        <v>0.6873032967079558</v>
      </c>
      <c r="S52" s="62">
        <f t="shared" si="18"/>
        <v>124</v>
      </c>
      <c r="T52" s="12">
        <f t="shared" si="19"/>
        <v>50.8680505028844</v>
      </c>
      <c r="U52" s="22">
        <f t="shared" si="20"/>
        <v>304</v>
      </c>
      <c r="V52" s="12">
        <f t="shared" si="21"/>
        <v>214</v>
      </c>
      <c r="W52" s="23">
        <f t="shared" si="22"/>
        <v>39.1319494971156</v>
      </c>
      <c r="X52" s="65"/>
      <c r="Y52" s="66"/>
      <c r="Z52" s="27" t="s">
        <v>51</v>
      </c>
      <c r="AA52" s="2"/>
      <c r="AB52" s="11"/>
      <c r="AC52" s="31">
        <v>250.9</v>
      </c>
      <c r="AD52" s="32">
        <v>73.6</v>
      </c>
      <c r="AE52" s="22">
        <f t="shared" si="23"/>
        <v>53.099999999999994</v>
      </c>
      <c r="AF52" s="12">
        <f t="shared" si="24"/>
        <v>323.1</v>
      </c>
      <c r="AG52" s="12">
        <f t="shared" si="25"/>
        <v>39.1319494971156</v>
      </c>
      <c r="AH52" s="48"/>
      <c r="AI52" s="27" t="str">
        <f>Z52</f>
        <v>N</v>
      </c>
      <c r="AL52" s="54"/>
      <c r="AM52" s="54"/>
    </row>
    <row r="53" spans="1:39" ht="12.75" customHeight="1">
      <c r="A53" s="89">
        <f t="shared" si="26"/>
        <v>33.657000000000004</v>
      </c>
      <c r="B53" s="90" t="s">
        <v>49</v>
      </c>
      <c r="C53" s="1" t="s">
        <v>48</v>
      </c>
      <c r="D53" s="1">
        <v>3</v>
      </c>
      <c r="E53" s="2" t="s">
        <v>50</v>
      </c>
      <c r="F53" s="15">
        <v>36</v>
      </c>
      <c r="G53" s="17">
        <v>48</v>
      </c>
      <c r="H53" s="11">
        <f t="shared" si="0"/>
        <v>42</v>
      </c>
      <c r="I53" s="40"/>
      <c r="J53" s="2">
        <v>270</v>
      </c>
      <c r="K53" s="11">
        <v>72</v>
      </c>
      <c r="L53" s="11">
        <v>37</v>
      </c>
      <c r="M53" s="11">
        <v>0</v>
      </c>
      <c r="N53" s="11"/>
      <c r="O53" s="46"/>
      <c r="P53" s="38">
        <f t="shared" si="15"/>
        <v>-0.5723600993730742</v>
      </c>
      <c r="Q53" s="38">
        <f t="shared" si="16"/>
        <v>0.7595475059751814</v>
      </c>
      <c r="R53" s="38">
        <f t="shared" si="17"/>
        <v>0.24679194491591755</v>
      </c>
      <c r="S53" s="62">
        <f t="shared" si="18"/>
        <v>127</v>
      </c>
      <c r="T53" s="12">
        <f t="shared" si="19"/>
        <v>14.546971432790682</v>
      </c>
      <c r="U53" s="22">
        <f t="shared" si="20"/>
        <v>307</v>
      </c>
      <c r="V53" s="12">
        <f t="shared" si="21"/>
        <v>217</v>
      </c>
      <c r="W53" s="23">
        <f t="shared" si="22"/>
        <v>75.45302856720932</v>
      </c>
      <c r="X53" s="65"/>
      <c r="Y53" s="66"/>
      <c r="Z53" s="27" t="s">
        <v>51</v>
      </c>
      <c r="AA53" s="2"/>
      <c r="AB53" s="11"/>
      <c r="AC53" s="31">
        <v>250.9</v>
      </c>
      <c r="AD53" s="32">
        <v>73.6</v>
      </c>
      <c r="AE53" s="22">
        <f t="shared" si="23"/>
        <v>56.099999999999994</v>
      </c>
      <c r="AF53" s="12">
        <f t="shared" si="24"/>
        <v>326.1</v>
      </c>
      <c r="AG53" s="12">
        <f t="shared" si="25"/>
        <v>75.45302856720932</v>
      </c>
      <c r="AH53" s="48"/>
      <c r="AI53" s="27" t="str">
        <f>Z53</f>
        <v>N</v>
      </c>
      <c r="AJ53" t="s">
        <v>72</v>
      </c>
      <c r="AL53" s="54"/>
      <c r="AM53" s="54"/>
    </row>
    <row r="54" spans="1:39" ht="12.75" customHeight="1">
      <c r="A54" s="89">
        <f t="shared" si="26"/>
        <v>33.727000000000004</v>
      </c>
      <c r="B54" s="90" t="s">
        <v>49</v>
      </c>
      <c r="C54" s="1" t="s">
        <v>48</v>
      </c>
      <c r="D54" s="1">
        <v>3</v>
      </c>
      <c r="E54" s="2" t="s">
        <v>50</v>
      </c>
      <c r="F54" s="15">
        <v>44</v>
      </c>
      <c r="G54" s="17">
        <v>54</v>
      </c>
      <c r="H54" s="11">
        <f t="shared" si="0"/>
        <v>49</v>
      </c>
      <c r="I54" s="40"/>
      <c r="J54" s="2">
        <v>90</v>
      </c>
      <c r="K54" s="11">
        <v>26</v>
      </c>
      <c r="L54" s="11">
        <v>322</v>
      </c>
      <c r="M54" s="11">
        <v>0</v>
      </c>
      <c r="N54" s="11"/>
      <c r="O54" s="46"/>
      <c r="P54" s="38">
        <f t="shared" si="15"/>
        <v>0.26988822697236436</v>
      </c>
      <c r="Q54" s="38">
        <f t="shared" si="16"/>
        <v>0.34544117774070365</v>
      </c>
      <c r="R54" s="38">
        <f t="shared" si="17"/>
        <v>-0.7082593737614412</v>
      </c>
      <c r="S54" s="62">
        <f t="shared" si="18"/>
        <v>51.99999999999997</v>
      </c>
      <c r="T54" s="12">
        <f t="shared" si="19"/>
        <v>-58.244914175845715</v>
      </c>
      <c r="U54" s="22">
        <f t="shared" si="20"/>
        <v>51.99999999999997</v>
      </c>
      <c r="V54" s="12">
        <f t="shared" si="21"/>
        <v>322</v>
      </c>
      <c r="W54" s="23">
        <f t="shared" si="22"/>
        <v>31.755085824154285</v>
      </c>
      <c r="X54" s="65"/>
      <c r="Y54" s="66"/>
      <c r="Z54" s="27"/>
      <c r="AA54" s="2"/>
      <c r="AB54" s="11"/>
      <c r="AC54" s="31">
        <v>250.9</v>
      </c>
      <c r="AD54" s="32">
        <v>73.6</v>
      </c>
      <c r="AE54" s="22">
        <f t="shared" si="23"/>
        <v>161.09999999999997</v>
      </c>
      <c r="AF54" s="12">
        <f t="shared" si="24"/>
        <v>71.09999999999997</v>
      </c>
      <c r="AG54" s="12">
        <f t="shared" si="25"/>
        <v>31.755085824154285</v>
      </c>
      <c r="AH54" s="48"/>
      <c r="AI54" s="27"/>
      <c r="AL54" s="54"/>
      <c r="AM54" s="54"/>
    </row>
    <row r="55" spans="1:39" ht="12.75" customHeight="1">
      <c r="A55" s="89">
        <f t="shared" si="26"/>
        <v>33.732</v>
      </c>
      <c r="B55" s="90" t="s">
        <v>49</v>
      </c>
      <c r="C55" s="1" t="s">
        <v>48</v>
      </c>
      <c r="D55" s="1">
        <v>3</v>
      </c>
      <c r="E55" s="2" t="s">
        <v>50</v>
      </c>
      <c r="F55" s="15">
        <v>47</v>
      </c>
      <c r="G55" s="17">
        <v>52</v>
      </c>
      <c r="H55" s="11">
        <f t="shared" si="0"/>
        <v>49.5</v>
      </c>
      <c r="I55" s="40"/>
      <c r="J55" s="2">
        <v>270</v>
      </c>
      <c r="K55" s="11">
        <v>54</v>
      </c>
      <c r="L55" s="11">
        <v>26</v>
      </c>
      <c r="M55" s="11">
        <v>0</v>
      </c>
      <c r="N55" s="11"/>
      <c r="O55" s="46"/>
      <c r="P55" s="38">
        <f t="shared" si="15"/>
        <v>-0.3546497075959983</v>
      </c>
      <c r="Q55" s="38">
        <f t="shared" si="16"/>
        <v>0.7271396578990494</v>
      </c>
      <c r="R55" s="38">
        <f t="shared" si="17"/>
        <v>0.5282978852629286</v>
      </c>
      <c r="S55" s="62">
        <f t="shared" si="18"/>
        <v>116</v>
      </c>
      <c r="T55" s="12">
        <f t="shared" si="19"/>
        <v>33.1450226153983</v>
      </c>
      <c r="U55" s="22">
        <f t="shared" si="20"/>
        <v>296</v>
      </c>
      <c r="V55" s="12">
        <f t="shared" si="21"/>
        <v>206</v>
      </c>
      <c r="W55" s="23">
        <f t="shared" si="22"/>
        <v>56.8549773846017</v>
      </c>
      <c r="X55" s="65"/>
      <c r="Y55" s="66"/>
      <c r="Z55" s="27"/>
      <c r="AA55" s="2"/>
      <c r="AB55" s="11"/>
      <c r="AC55" s="31">
        <v>250.9</v>
      </c>
      <c r="AD55" s="32">
        <v>73.6</v>
      </c>
      <c r="AE55" s="22">
        <f t="shared" si="23"/>
        <v>45.099999999999994</v>
      </c>
      <c r="AF55" s="12">
        <f t="shared" si="24"/>
        <v>315.1</v>
      </c>
      <c r="AG55" s="12">
        <f t="shared" si="25"/>
        <v>56.8549773846017</v>
      </c>
      <c r="AH55" s="48"/>
      <c r="AI55" s="27"/>
      <c r="AM55" s="54"/>
    </row>
    <row r="56" spans="1:39" ht="12.75" customHeight="1">
      <c r="A56" s="89">
        <f t="shared" si="26"/>
        <v>34.182</v>
      </c>
      <c r="B56" s="90" t="s">
        <v>49</v>
      </c>
      <c r="C56" s="1" t="s">
        <v>48</v>
      </c>
      <c r="D56" s="1">
        <v>3</v>
      </c>
      <c r="E56" s="76" t="s">
        <v>63</v>
      </c>
      <c r="F56" s="15">
        <v>49</v>
      </c>
      <c r="G56" s="17">
        <v>140</v>
      </c>
      <c r="H56" s="11">
        <f t="shared" si="0"/>
        <v>94.5</v>
      </c>
      <c r="I56" s="40"/>
      <c r="J56" s="2">
        <v>90</v>
      </c>
      <c r="K56" s="11">
        <v>76</v>
      </c>
      <c r="L56" s="11">
        <v>0</v>
      </c>
      <c r="M56" s="11">
        <v>63</v>
      </c>
      <c r="N56" s="11"/>
      <c r="O56" s="46"/>
      <c r="P56" s="38">
        <f t="shared" si="15"/>
        <v>0.2155539873233213</v>
      </c>
      <c r="Q56" s="38">
        <f t="shared" si="16"/>
        <v>0.4405050416671862</v>
      </c>
      <c r="R56" s="38">
        <f t="shared" si="17"/>
        <v>-0.1098302422812317</v>
      </c>
      <c r="S56" s="62">
        <f t="shared" si="18"/>
        <v>63.925936185375704</v>
      </c>
      <c r="T56" s="12">
        <f t="shared" si="19"/>
        <v>-12.623275463387083</v>
      </c>
      <c r="U56" s="22">
        <f t="shared" si="20"/>
        <v>63.925936185375704</v>
      </c>
      <c r="V56" s="12">
        <f t="shared" si="21"/>
        <v>333.9259361853757</v>
      </c>
      <c r="W56" s="23">
        <f t="shared" si="22"/>
        <v>77.37672453661291</v>
      </c>
      <c r="X56" s="65"/>
      <c r="Y56" s="66"/>
      <c r="Z56" s="27"/>
      <c r="AA56" s="2"/>
      <c r="AB56" s="11"/>
      <c r="AC56" s="31">
        <v>250.9</v>
      </c>
      <c r="AD56" s="32">
        <v>73.6</v>
      </c>
      <c r="AE56" s="22">
        <f t="shared" si="23"/>
        <v>173.0259361853757</v>
      </c>
      <c r="AF56" s="12">
        <f t="shared" si="24"/>
        <v>83.02593618537571</v>
      </c>
      <c r="AG56" s="12">
        <f t="shared" si="25"/>
        <v>77.37672453661291</v>
      </c>
      <c r="AH56" s="48"/>
      <c r="AI56" s="27"/>
      <c r="AL56" s="54"/>
      <c r="AM56" s="54"/>
    </row>
    <row r="57" spans="1:39" ht="12.75" customHeight="1">
      <c r="A57" s="89">
        <f>H57/100+34.618</f>
        <v>34.778</v>
      </c>
      <c r="B57" s="90" t="s">
        <v>49</v>
      </c>
      <c r="C57" s="1" t="s">
        <v>48</v>
      </c>
      <c r="D57" s="1">
        <v>4</v>
      </c>
      <c r="E57" s="2" t="s">
        <v>50</v>
      </c>
      <c r="F57" s="15">
        <v>15</v>
      </c>
      <c r="G57" s="17">
        <v>17</v>
      </c>
      <c r="H57" s="11">
        <f t="shared" si="0"/>
        <v>16</v>
      </c>
      <c r="I57" s="40"/>
      <c r="J57" s="2">
        <v>270</v>
      </c>
      <c r="K57" s="11">
        <v>10</v>
      </c>
      <c r="L57" s="11">
        <v>180</v>
      </c>
      <c r="M57" s="11">
        <v>45</v>
      </c>
      <c r="N57" s="11"/>
      <c r="O57" s="46"/>
      <c r="P57" s="38">
        <f t="shared" si="15"/>
        <v>-0.6963642403200189</v>
      </c>
      <c r="Q57" s="38">
        <f t="shared" si="16"/>
        <v>-0.12278780396897272</v>
      </c>
      <c r="R57" s="38">
        <f t="shared" si="17"/>
        <v>-0.696364240320019</v>
      </c>
      <c r="S57" s="62">
        <f t="shared" si="18"/>
        <v>190</v>
      </c>
      <c r="T57" s="12">
        <f t="shared" si="19"/>
        <v>-44.5614514132577</v>
      </c>
      <c r="U57" s="22">
        <f t="shared" si="20"/>
        <v>190</v>
      </c>
      <c r="V57" s="12">
        <f t="shared" si="21"/>
        <v>100</v>
      </c>
      <c r="W57" s="23">
        <f t="shared" si="22"/>
        <v>45.4385485867423</v>
      </c>
      <c r="X57" s="65"/>
      <c r="Y57" s="66"/>
      <c r="Z57" s="27"/>
      <c r="AA57" s="2">
        <v>0</v>
      </c>
      <c r="AB57" s="11">
        <v>71</v>
      </c>
      <c r="AC57" s="31">
        <v>250.9</v>
      </c>
      <c r="AD57" s="32">
        <v>73.6</v>
      </c>
      <c r="AE57" s="22">
        <f t="shared" si="23"/>
        <v>299.1</v>
      </c>
      <c r="AF57" s="12">
        <f t="shared" si="24"/>
        <v>209.10000000000002</v>
      </c>
      <c r="AG57" s="12">
        <f t="shared" si="25"/>
        <v>45.4385485867423</v>
      </c>
      <c r="AH57" s="48"/>
      <c r="AI57" s="27"/>
      <c r="AM57" s="54"/>
    </row>
    <row r="58" spans="1:39" ht="12.75" customHeight="1">
      <c r="A58" s="89">
        <f>H58/100+34.618</f>
        <v>34.948</v>
      </c>
      <c r="B58" s="90" t="s">
        <v>49</v>
      </c>
      <c r="C58" s="1" t="s">
        <v>48</v>
      </c>
      <c r="D58" s="1">
        <v>4</v>
      </c>
      <c r="E58" s="2" t="s">
        <v>50</v>
      </c>
      <c r="F58" s="15">
        <v>26.5</v>
      </c>
      <c r="G58" s="17">
        <v>39.5</v>
      </c>
      <c r="H58" s="11">
        <f t="shared" si="0"/>
        <v>33</v>
      </c>
      <c r="I58" s="40"/>
      <c r="J58" s="2">
        <v>270</v>
      </c>
      <c r="K58" s="11">
        <v>30</v>
      </c>
      <c r="L58" s="11">
        <v>180</v>
      </c>
      <c r="M58" s="11">
        <v>37</v>
      </c>
      <c r="N58" s="11"/>
      <c r="O58" s="46"/>
      <c r="P58" s="38">
        <f t="shared" si="15"/>
        <v>-0.521187098428794</v>
      </c>
      <c r="Q58" s="38">
        <f t="shared" si="16"/>
        <v>-0.39931775502364625</v>
      </c>
      <c r="R58" s="38">
        <f t="shared" si="17"/>
        <v>-0.691638640065298</v>
      </c>
      <c r="S58" s="62">
        <f t="shared" si="18"/>
        <v>217.45824141733465</v>
      </c>
      <c r="T58" s="12">
        <f t="shared" si="19"/>
        <v>-46.48978535154156</v>
      </c>
      <c r="U58" s="22">
        <f t="shared" si="20"/>
        <v>217.45824141733465</v>
      </c>
      <c r="V58" s="12">
        <f t="shared" si="21"/>
        <v>127.45824141733465</v>
      </c>
      <c r="W58" s="23">
        <f t="shared" si="22"/>
        <v>43.51021464845844</v>
      </c>
      <c r="X58" s="65"/>
      <c r="Y58" s="66"/>
      <c r="Z58" s="27"/>
      <c r="AA58" s="2">
        <v>0</v>
      </c>
      <c r="AB58" s="11">
        <v>71</v>
      </c>
      <c r="AC58" s="31">
        <v>250.9</v>
      </c>
      <c r="AD58" s="32">
        <v>73.6</v>
      </c>
      <c r="AE58" s="22">
        <f t="shared" si="23"/>
        <v>326.55824141733467</v>
      </c>
      <c r="AF58" s="12">
        <f t="shared" si="24"/>
        <v>236.55824141733467</v>
      </c>
      <c r="AG58" s="12">
        <f t="shared" si="25"/>
        <v>43.51021464845844</v>
      </c>
      <c r="AH58" s="48"/>
      <c r="AI58" s="27"/>
      <c r="AM58" s="54"/>
    </row>
    <row r="59" spans="1:35" ht="12.75" customHeight="1">
      <c r="A59" s="89">
        <f>H59/100+34.618</f>
        <v>35.308</v>
      </c>
      <c r="B59" s="90" t="s">
        <v>49</v>
      </c>
      <c r="C59" s="1" t="s">
        <v>48</v>
      </c>
      <c r="D59" s="1">
        <v>4</v>
      </c>
      <c r="E59" s="2" t="s">
        <v>44</v>
      </c>
      <c r="F59" s="15">
        <v>68</v>
      </c>
      <c r="G59" s="17">
        <v>70</v>
      </c>
      <c r="H59" s="11">
        <f t="shared" si="0"/>
        <v>69</v>
      </c>
      <c r="I59" s="40"/>
      <c r="J59" s="2">
        <v>90</v>
      </c>
      <c r="K59" s="11">
        <v>20</v>
      </c>
      <c r="L59" s="11">
        <v>0</v>
      </c>
      <c r="M59" s="11">
        <v>40</v>
      </c>
      <c r="N59" s="11"/>
      <c r="O59" s="46"/>
      <c r="P59" s="38">
        <f t="shared" si="15"/>
        <v>0.6040227735550536</v>
      </c>
      <c r="Q59" s="38">
        <f t="shared" si="16"/>
        <v>0.26200263022938486</v>
      </c>
      <c r="R59" s="38">
        <f t="shared" si="17"/>
        <v>-0.7198463103929542</v>
      </c>
      <c r="S59" s="62">
        <f t="shared" si="18"/>
        <v>23.44940774024312</v>
      </c>
      <c r="T59" s="12">
        <f t="shared" si="19"/>
        <v>-47.552780457020994</v>
      </c>
      <c r="U59" s="22">
        <f t="shared" si="20"/>
        <v>23.44940774024312</v>
      </c>
      <c r="V59" s="12">
        <f t="shared" si="21"/>
        <v>293.44940774024315</v>
      </c>
      <c r="W59" s="23">
        <f t="shared" si="22"/>
        <v>42.447219542979006</v>
      </c>
      <c r="X59" s="65"/>
      <c r="Y59" s="66"/>
      <c r="Z59" s="27"/>
      <c r="AA59" s="2">
        <v>0</v>
      </c>
      <c r="AB59" s="11">
        <v>71</v>
      </c>
      <c r="AC59" s="31">
        <v>250.9</v>
      </c>
      <c r="AD59" s="32">
        <v>73.6</v>
      </c>
      <c r="AE59" s="22">
        <f t="shared" si="23"/>
        <v>132.5494077402431</v>
      </c>
      <c r="AF59" s="12">
        <f t="shared" si="24"/>
        <v>42.54940774024311</v>
      </c>
      <c r="AG59" s="12">
        <f t="shared" si="25"/>
        <v>42.447219542979006</v>
      </c>
      <c r="AH59" s="48"/>
      <c r="AI59" s="27"/>
    </row>
    <row r="60" spans="1:35" ht="12.75" customHeight="1">
      <c r="A60" s="89">
        <f>H60/100+34.618</f>
        <v>35.383</v>
      </c>
      <c r="B60" s="90" t="s">
        <v>49</v>
      </c>
      <c r="C60" s="1" t="s">
        <v>48</v>
      </c>
      <c r="D60" s="1">
        <v>4</v>
      </c>
      <c r="E60" s="2" t="s">
        <v>44</v>
      </c>
      <c r="F60" s="15">
        <v>75.5</v>
      </c>
      <c r="G60" s="17">
        <v>77.5</v>
      </c>
      <c r="H60" s="11">
        <f t="shared" si="0"/>
        <v>76.5</v>
      </c>
      <c r="I60" s="40"/>
      <c r="J60" s="2">
        <v>90</v>
      </c>
      <c r="K60" s="11">
        <v>13</v>
      </c>
      <c r="L60" s="11">
        <v>0</v>
      </c>
      <c r="M60" s="11">
        <v>20</v>
      </c>
      <c r="N60" s="11"/>
      <c r="O60" s="46"/>
      <c r="P60" s="38">
        <f t="shared" si="15"/>
        <v>0.33325418921008726</v>
      </c>
      <c r="Q60" s="38">
        <f t="shared" si="16"/>
        <v>0.2113848458049398</v>
      </c>
      <c r="R60" s="38">
        <f t="shared" si="17"/>
        <v>-0.9156083597933731</v>
      </c>
      <c r="S60" s="62">
        <f t="shared" si="18"/>
        <v>32.38716631405896</v>
      </c>
      <c r="T60" s="12">
        <f t="shared" si="19"/>
        <v>-66.68320369110162</v>
      </c>
      <c r="U60" s="22">
        <f t="shared" si="20"/>
        <v>32.38716631405896</v>
      </c>
      <c r="V60" s="12">
        <f t="shared" si="21"/>
        <v>302.38716631405896</v>
      </c>
      <c r="W60" s="23">
        <f t="shared" si="22"/>
        <v>23.316796308898375</v>
      </c>
      <c r="X60" s="65"/>
      <c r="Y60" s="66"/>
      <c r="Z60" s="27"/>
      <c r="AA60" s="2">
        <v>0</v>
      </c>
      <c r="AB60" s="11">
        <v>71</v>
      </c>
      <c r="AC60" s="31">
        <v>250.9</v>
      </c>
      <c r="AD60" s="32">
        <v>73.6</v>
      </c>
      <c r="AE60" s="22">
        <f t="shared" si="23"/>
        <v>141.48716631405895</v>
      </c>
      <c r="AF60" s="12">
        <f t="shared" si="24"/>
        <v>51.48716631405895</v>
      </c>
      <c r="AG60" s="12">
        <f t="shared" si="25"/>
        <v>23.316796308898375</v>
      </c>
      <c r="AH60" s="48"/>
      <c r="AI60" s="27"/>
    </row>
    <row r="61" spans="1:35" ht="12.75" customHeight="1">
      <c r="A61" s="89">
        <f>H61/100+34.618</f>
        <v>35.603</v>
      </c>
      <c r="B61" s="90" t="s">
        <v>49</v>
      </c>
      <c r="C61" s="1" t="s">
        <v>48</v>
      </c>
      <c r="D61" s="1">
        <v>4</v>
      </c>
      <c r="E61" s="2" t="s">
        <v>44</v>
      </c>
      <c r="F61" s="15">
        <v>98</v>
      </c>
      <c r="G61" s="17">
        <v>99</v>
      </c>
      <c r="H61" s="11">
        <f t="shared" si="0"/>
        <v>98.5</v>
      </c>
      <c r="I61" s="40"/>
      <c r="J61" s="2">
        <v>90</v>
      </c>
      <c r="K61" s="11">
        <v>6</v>
      </c>
      <c r="L61" s="11">
        <v>180</v>
      </c>
      <c r="M61" s="11">
        <v>1</v>
      </c>
      <c r="N61" s="11"/>
      <c r="O61" s="46"/>
      <c r="P61" s="38">
        <f t="shared" si="15"/>
        <v>0.017356800328744638</v>
      </c>
      <c r="Q61" s="38">
        <f t="shared" si="16"/>
        <v>-0.10451254307640281</v>
      </c>
      <c r="R61" s="38">
        <f t="shared" si="17"/>
        <v>0.9943704248665338</v>
      </c>
      <c r="S61" s="62">
        <f t="shared" si="18"/>
        <v>279.42927109941905</v>
      </c>
      <c r="T61" s="12">
        <f t="shared" si="19"/>
        <v>83.91843294872984</v>
      </c>
      <c r="U61" s="22">
        <f t="shared" si="20"/>
        <v>99.42927109941905</v>
      </c>
      <c r="V61" s="12">
        <f t="shared" si="21"/>
        <v>9.429271099419054</v>
      </c>
      <c r="W61" s="23">
        <f t="shared" si="22"/>
        <v>6.081567051270156</v>
      </c>
      <c r="X61" s="65"/>
      <c r="Y61" s="66"/>
      <c r="Z61" s="27"/>
      <c r="AA61" s="2">
        <v>73</v>
      </c>
      <c r="AB61" s="11">
        <v>120</v>
      </c>
      <c r="AC61" s="31">
        <v>250.9</v>
      </c>
      <c r="AD61" s="32">
        <v>73.6</v>
      </c>
      <c r="AE61" s="22">
        <f t="shared" si="23"/>
        <v>208.52927109941905</v>
      </c>
      <c r="AF61" s="12">
        <f t="shared" si="24"/>
        <v>118.52927109941905</v>
      </c>
      <c r="AG61" s="12">
        <f t="shared" si="25"/>
        <v>6.081567051270156</v>
      </c>
      <c r="AH61" s="48"/>
      <c r="AI61" s="27"/>
    </row>
    <row r="62" spans="1:35" ht="12.75" customHeight="1">
      <c r="A62" s="89">
        <f>H62/100+36.232</f>
        <v>36.5495</v>
      </c>
      <c r="B62" s="90" t="s">
        <v>49</v>
      </c>
      <c r="C62" s="1" t="s">
        <v>48</v>
      </c>
      <c r="D62" s="1">
        <v>7</v>
      </c>
      <c r="E62" s="2" t="s">
        <v>44</v>
      </c>
      <c r="F62" s="15">
        <v>31.5</v>
      </c>
      <c r="G62" s="17">
        <v>32</v>
      </c>
      <c r="H62" s="11">
        <f t="shared" si="0"/>
        <v>31.75</v>
      </c>
      <c r="I62" s="40"/>
      <c r="J62" s="2">
        <v>90</v>
      </c>
      <c r="K62" s="11">
        <v>3</v>
      </c>
      <c r="L62" s="11">
        <v>0</v>
      </c>
      <c r="M62" s="11">
        <v>4</v>
      </c>
      <c r="N62" s="11"/>
      <c r="O62" s="46"/>
      <c r="P62" s="38">
        <f t="shared" si="15"/>
        <v>0.06966087492121549</v>
      </c>
      <c r="Q62" s="38">
        <f t="shared" si="16"/>
        <v>0.05220846848393197</v>
      </c>
      <c r="R62" s="38">
        <f t="shared" si="17"/>
        <v>-0.9961969233988566</v>
      </c>
      <c r="S62" s="62">
        <f t="shared" si="18"/>
        <v>36.850317119400614</v>
      </c>
      <c r="T62" s="12">
        <f t="shared" si="19"/>
        <v>-85.00583060689412</v>
      </c>
      <c r="U62" s="22">
        <f t="shared" si="20"/>
        <v>36.850317119400614</v>
      </c>
      <c r="V62" s="12">
        <f t="shared" si="21"/>
        <v>306.85031711940064</v>
      </c>
      <c r="W62" s="23">
        <f t="shared" si="22"/>
        <v>4.994169393105878</v>
      </c>
      <c r="X62" s="65"/>
      <c r="Y62" s="66"/>
      <c r="Z62" s="27"/>
      <c r="AA62" s="2"/>
      <c r="AB62" s="11"/>
      <c r="AC62" s="31">
        <v>250.9</v>
      </c>
      <c r="AD62" s="32">
        <v>73.6</v>
      </c>
      <c r="AE62" s="22">
        <f t="shared" si="23"/>
        <v>145.9503171194006</v>
      </c>
      <c r="AF62" s="12">
        <f t="shared" si="24"/>
        <v>55.95031711940061</v>
      </c>
      <c r="AG62" s="12">
        <f t="shared" si="25"/>
        <v>4.994169393105878</v>
      </c>
      <c r="AH62" s="48"/>
      <c r="AI62" s="27"/>
    </row>
    <row r="63" spans="1:39" ht="12.75" customHeight="1">
      <c r="A63" s="89">
        <f>H63/100+36.232</f>
        <v>37.086999999999996</v>
      </c>
      <c r="B63" s="90" t="s">
        <v>49</v>
      </c>
      <c r="C63" s="1" t="s">
        <v>48</v>
      </c>
      <c r="D63" s="1">
        <v>7</v>
      </c>
      <c r="E63" s="76" t="s">
        <v>63</v>
      </c>
      <c r="F63" s="15">
        <v>68</v>
      </c>
      <c r="G63" s="17">
        <v>103</v>
      </c>
      <c r="H63" s="11">
        <f t="shared" si="0"/>
        <v>85.5</v>
      </c>
      <c r="I63" s="40"/>
      <c r="J63" s="2">
        <v>90</v>
      </c>
      <c r="K63" s="11">
        <v>78</v>
      </c>
      <c r="L63" s="11">
        <v>0</v>
      </c>
      <c r="M63" s="11">
        <v>79</v>
      </c>
      <c r="N63" s="11"/>
      <c r="O63" s="46"/>
      <c r="P63" s="38">
        <f t="shared" si="15"/>
        <v>0.20409176746327876</v>
      </c>
      <c r="Q63" s="38">
        <f t="shared" si="16"/>
        <v>0.1866393610259952</v>
      </c>
      <c r="R63" s="38">
        <f t="shared" si="17"/>
        <v>-0.0396714208519755</v>
      </c>
      <c r="S63" s="62">
        <f t="shared" si="18"/>
        <v>42.442525130342496</v>
      </c>
      <c r="T63" s="12">
        <f t="shared" si="19"/>
        <v>-8.16304353196389</v>
      </c>
      <c r="U63" s="22">
        <f t="shared" si="20"/>
        <v>42.442525130342496</v>
      </c>
      <c r="V63" s="12">
        <f t="shared" si="21"/>
        <v>312.4425251303425</v>
      </c>
      <c r="W63" s="23">
        <f t="shared" si="22"/>
        <v>81.8369564680361</v>
      </c>
      <c r="X63" s="65"/>
      <c r="Y63" s="66"/>
      <c r="Z63" s="27"/>
      <c r="AA63" s="2">
        <v>73</v>
      </c>
      <c r="AB63" s="11">
        <v>120</v>
      </c>
      <c r="AC63" s="31">
        <v>250.9</v>
      </c>
      <c r="AD63" s="32">
        <v>73.6</v>
      </c>
      <c r="AE63" s="22">
        <f t="shared" si="23"/>
        <v>151.54252513034248</v>
      </c>
      <c r="AF63" s="12">
        <f t="shared" si="24"/>
        <v>61.54252513034248</v>
      </c>
      <c r="AG63" s="12">
        <f t="shared" si="25"/>
        <v>81.8369564680361</v>
      </c>
      <c r="AH63" s="48"/>
      <c r="AI63" s="27"/>
      <c r="AL63" s="54"/>
      <c r="AM63" s="54"/>
    </row>
    <row r="64" spans="1:35" ht="12.75" customHeight="1">
      <c r="A64" s="89">
        <f>H64/100+37.297</f>
        <v>37.524499999999996</v>
      </c>
      <c r="B64" s="90" t="s">
        <v>49</v>
      </c>
      <c r="C64" s="1" t="s">
        <v>48</v>
      </c>
      <c r="D64" s="1">
        <v>8</v>
      </c>
      <c r="E64" s="2" t="s">
        <v>44</v>
      </c>
      <c r="F64" s="15">
        <v>21.5</v>
      </c>
      <c r="G64" s="17">
        <v>24</v>
      </c>
      <c r="H64" s="11">
        <f t="shared" si="0"/>
        <v>22.75</v>
      </c>
      <c r="I64" s="40"/>
      <c r="J64" s="2">
        <v>270</v>
      </c>
      <c r="K64" s="11">
        <v>35</v>
      </c>
      <c r="L64" s="11">
        <v>180</v>
      </c>
      <c r="M64" s="11">
        <v>5</v>
      </c>
      <c r="N64" s="11"/>
      <c r="O64" s="46"/>
      <c r="P64" s="38">
        <f t="shared" si="15"/>
        <v>-0.07139380484326972</v>
      </c>
      <c r="Q64" s="38">
        <f t="shared" si="16"/>
        <v>-0.5713938048432696</v>
      </c>
      <c r="R64" s="38">
        <f t="shared" si="17"/>
        <v>-0.8160349234517084</v>
      </c>
      <c r="S64" s="62">
        <f t="shared" si="18"/>
        <v>262.87798714433313</v>
      </c>
      <c r="T64" s="12">
        <f t="shared" si="19"/>
        <v>-54.791213792248826</v>
      </c>
      <c r="U64" s="22">
        <f t="shared" si="20"/>
        <v>262.87798714433313</v>
      </c>
      <c r="V64" s="12">
        <f t="shared" si="21"/>
        <v>172.87798714433313</v>
      </c>
      <c r="W64" s="23">
        <f t="shared" si="22"/>
        <v>35.208786207751174</v>
      </c>
      <c r="X64" s="65"/>
      <c r="Y64" s="66"/>
      <c r="Z64" s="27"/>
      <c r="AA64" s="2"/>
      <c r="AB64" s="11"/>
      <c r="AC64" s="31">
        <v>250.9</v>
      </c>
      <c r="AD64" s="32">
        <v>73.6</v>
      </c>
      <c r="AE64" s="22">
        <f t="shared" si="23"/>
        <v>11.977987144333127</v>
      </c>
      <c r="AF64" s="12">
        <f t="shared" si="24"/>
        <v>281.97798714433316</v>
      </c>
      <c r="AG64" s="12">
        <f t="shared" si="25"/>
        <v>35.208786207751174</v>
      </c>
      <c r="AH64" s="48"/>
      <c r="AI64" s="27"/>
    </row>
    <row r="65" spans="1:35" ht="12.75" customHeight="1">
      <c r="A65" s="89">
        <f>H65/100+38.965</f>
        <v>39.565000000000005</v>
      </c>
      <c r="B65" s="90" t="s">
        <v>49</v>
      </c>
      <c r="C65" s="1" t="s">
        <v>48</v>
      </c>
      <c r="D65" s="1">
        <v>9</v>
      </c>
      <c r="E65" s="2" t="s">
        <v>44</v>
      </c>
      <c r="F65" s="15">
        <v>59.5</v>
      </c>
      <c r="G65" s="17">
        <v>60.5</v>
      </c>
      <c r="H65" s="11">
        <f t="shared" si="0"/>
        <v>60</v>
      </c>
      <c r="I65" s="40"/>
      <c r="J65" s="2">
        <v>90</v>
      </c>
      <c r="K65" s="11">
        <v>8</v>
      </c>
      <c r="L65" s="11">
        <v>180</v>
      </c>
      <c r="M65" s="11">
        <v>20</v>
      </c>
      <c r="N65" s="11"/>
      <c r="O65" s="46"/>
      <c r="P65" s="38">
        <f t="shared" si="15"/>
        <v>0.3386916268018251</v>
      </c>
      <c r="Q65" s="38">
        <f t="shared" si="16"/>
        <v>-0.13077993598406576</v>
      </c>
      <c r="R65" s="38">
        <f t="shared" si="17"/>
        <v>0.9305475967963663</v>
      </c>
      <c r="S65" s="62">
        <f t="shared" si="18"/>
        <v>338.88679131195045</v>
      </c>
      <c r="T65" s="12">
        <f t="shared" si="19"/>
        <v>68.68618124399468</v>
      </c>
      <c r="U65" s="22">
        <f t="shared" si="20"/>
        <v>158.88679131195045</v>
      </c>
      <c r="V65" s="12">
        <f t="shared" si="21"/>
        <v>68.88679131195045</v>
      </c>
      <c r="W65" s="23">
        <f t="shared" si="22"/>
        <v>21.31381875600532</v>
      </c>
      <c r="X65" s="65"/>
      <c r="Y65" s="66"/>
      <c r="Z65" s="27"/>
      <c r="AA65" s="2">
        <v>58</v>
      </c>
      <c r="AB65" s="11">
        <v>105</v>
      </c>
      <c r="AC65" s="31">
        <v>250.9</v>
      </c>
      <c r="AD65" s="32">
        <v>73.6</v>
      </c>
      <c r="AE65" s="22">
        <f t="shared" si="23"/>
        <v>267.98679131195047</v>
      </c>
      <c r="AF65" s="12">
        <f t="shared" si="24"/>
        <v>177.98679131195047</v>
      </c>
      <c r="AG65" s="12">
        <f t="shared" si="25"/>
        <v>21.31381875600532</v>
      </c>
      <c r="AH65" s="48"/>
      <c r="AI65" s="27"/>
    </row>
    <row r="66" spans="1:39" ht="12.75" customHeight="1">
      <c r="A66" s="89">
        <f>H66/100+40</f>
        <v>41.345</v>
      </c>
      <c r="B66" s="90" t="s">
        <v>49</v>
      </c>
      <c r="C66" s="1" t="s">
        <v>46</v>
      </c>
      <c r="D66" s="1">
        <v>1</v>
      </c>
      <c r="E66" s="2" t="s">
        <v>50</v>
      </c>
      <c r="F66" s="15">
        <v>132</v>
      </c>
      <c r="G66" s="17">
        <v>137</v>
      </c>
      <c r="H66" s="11">
        <f t="shared" si="0"/>
        <v>134.5</v>
      </c>
      <c r="I66" s="40"/>
      <c r="J66" s="2">
        <v>90</v>
      </c>
      <c r="K66" s="11">
        <v>38</v>
      </c>
      <c r="L66" s="11">
        <v>0</v>
      </c>
      <c r="M66" s="11">
        <v>56</v>
      </c>
      <c r="N66" s="11"/>
      <c r="O66" s="46"/>
      <c r="P66" s="38">
        <f t="shared" si="15"/>
        <v>0.6532905223173859</v>
      </c>
      <c r="Q66" s="38">
        <f t="shared" si="16"/>
        <v>0.34427352794243826</v>
      </c>
      <c r="R66" s="38">
        <f t="shared" si="17"/>
        <v>-0.4406500212755141</v>
      </c>
      <c r="S66" s="62">
        <f t="shared" si="18"/>
        <v>27.788504517641414</v>
      </c>
      <c r="T66" s="12">
        <f t="shared" si="19"/>
        <v>-30.825393966535884</v>
      </c>
      <c r="U66" s="22">
        <f t="shared" si="20"/>
        <v>27.788504517641414</v>
      </c>
      <c r="V66" s="12">
        <f t="shared" si="21"/>
        <v>297.7885045176414</v>
      </c>
      <c r="W66" s="23">
        <f t="shared" si="22"/>
        <v>59.174606033464116</v>
      </c>
      <c r="X66" s="65"/>
      <c r="Y66" s="66"/>
      <c r="Z66" s="27"/>
      <c r="AA66" s="2"/>
      <c r="AB66" s="11"/>
      <c r="AC66" s="83">
        <v>32</v>
      </c>
      <c r="AD66" s="84">
        <v>68.9</v>
      </c>
      <c r="AE66" s="22">
        <f t="shared" si="23"/>
        <v>355.7885045176414</v>
      </c>
      <c r="AF66" s="12">
        <f t="shared" si="24"/>
        <v>265.7885045176414</v>
      </c>
      <c r="AG66" s="12">
        <f t="shared" si="25"/>
        <v>59.174606033464116</v>
      </c>
      <c r="AH66" s="48"/>
      <c r="AI66" s="27"/>
      <c r="AM66" s="54"/>
    </row>
    <row r="67" spans="1:35" ht="12.75" customHeight="1">
      <c r="A67" s="89">
        <f>H67/100+41.343</f>
        <v>41.5955</v>
      </c>
      <c r="B67" s="90" t="s">
        <v>49</v>
      </c>
      <c r="C67" s="1" t="s">
        <v>46</v>
      </c>
      <c r="D67" s="1">
        <v>2</v>
      </c>
      <c r="E67" s="2" t="s">
        <v>44</v>
      </c>
      <c r="F67" s="15">
        <v>25</v>
      </c>
      <c r="G67" s="17">
        <v>25.5</v>
      </c>
      <c r="H67" s="11">
        <f aca="true" t="shared" si="27" ref="H67:H130">(F67+G67)/2</f>
        <v>25.25</v>
      </c>
      <c r="I67" s="40"/>
      <c r="J67" s="2">
        <v>90</v>
      </c>
      <c r="K67" s="11">
        <v>5</v>
      </c>
      <c r="L67" s="11">
        <v>180</v>
      </c>
      <c r="M67" s="11">
        <v>2</v>
      </c>
      <c r="N67" s="11"/>
      <c r="O67" s="46"/>
      <c r="P67" s="38">
        <f t="shared" si="15"/>
        <v>0.03476669358110181</v>
      </c>
      <c r="Q67" s="38">
        <f t="shared" si="16"/>
        <v>-0.08710264982404566</v>
      </c>
      <c r="R67" s="38">
        <f t="shared" si="17"/>
        <v>0.995587843197948</v>
      </c>
      <c r="S67" s="62">
        <f t="shared" si="18"/>
        <v>291.7592264795576</v>
      </c>
      <c r="T67" s="12">
        <f t="shared" si="19"/>
        <v>84.61859152100902</v>
      </c>
      <c r="U67" s="22">
        <f t="shared" si="20"/>
        <v>111.75922647955758</v>
      </c>
      <c r="V67" s="12">
        <f t="shared" si="21"/>
        <v>21.759226479557583</v>
      </c>
      <c r="W67" s="23">
        <f t="shared" si="22"/>
        <v>5.381408478990977</v>
      </c>
      <c r="X67" s="65"/>
      <c r="Y67" s="66"/>
      <c r="Z67" s="27"/>
      <c r="AA67" s="2"/>
      <c r="AB67" s="11"/>
      <c r="AC67" s="83">
        <v>32</v>
      </c>
      <c r="AD67" s="84">
        <v>68.9</v>
      </c>
      <c r="AE67" s="22">
        <f t="shared" si="23"/>
        <v>79.75922647955758</v>
      </c>
      <c r="AF67" s="12">
        <f t="shared" si="24"/>
        <v>349.7592264795576</v>
      </c>
      <c r="AG67" s="12">
        <f t="shared" si="25"/>
        <v>5.381408478990977</v>
      </c>
      <c r="AH67" s="48"/>
      <c r="AI67" s="27"/>
    </row>
    <row r="68" spans="1:35" ht="12.75" customHeight="1">
      <c r="A68" s="89">
        <f>H68/100+41.343</f>
        <v>41.9605</v>
      </c>
      <c r="B68" s="90" t="s">
        <v>49</v>
      </c>
      <c r="C68" s="1" t="s">
        <v>46</v>
      </c>
      <c r="D68" s="1">
        <v>2</v>
      </c>
      <c r="E68" s="2" t="s">
        <v>44</v>
      </c>
      <c r="F68" s="15">
        <v>61.5</v>
      </c>
      <c r="G68" s="17">
        <v>62</v>
      </c>
      <c r="H68" s="11">
        <f t="shared" si="27"/>
        <v>61.75</v>
      </c>
      <c r="I68" s="40"/>
      <c r="J68" s="2">
        <v>90</v>
      </c>
      <c r="K68" s="11">
        <v>5</v>
      </c>
      <c r="L68" s="11">
        <v>180</v>
      </c>
      <c r="M68" s="11">
        <v>3</v>
      </c>
      <c r="N68" s="11"/>
      <c r="O68" s="46"/>
      <c r="P68" s="38">
        <f t="shared" si="15"/>
        <v>0.05213680212878222</v>
      </c>
      <c r="Q68" s="38">
        <f t="shared" si="16"/>
        <v>-0.0870362988312832</v>
      </c>
      <c r="R68" s="38">
        <f t="shared" si="17"/>
        <v>0.994829447880333</v>
      </c>
      <c r="S68" s="62">
        <f t="shared" si="18"/>
        <v>300.9226062699279</v>
      </c>
      <c r="T68" s="12">
        <f t="shared" si="19"/>
        <v>84.17685049823567</v>
      </c>
      <c r="U68" s="22">
        <f t="shared" si="20"/>
        <v>120.92260626992788</v>
      </c>
      <c r="V68" s="12">
        <f t="shared" si="21"/>
        <v>30.922606269927883</v>
      </c>
      <c r="W68" s="23">
        <f t="shared" si="22"/>
        <v>5.823149501764334</v>
      </c>
      <c r="X68" s="65"/>
      <c r="Y68" s="66"/>
      <c r="Z68" s="27"/>
      <c r="AA68" s="2"/>
      <c r="AB68" s="11"/>
      <c r="AC68" s="83">
        <v>32</v>
      </c>
      <c r="AD68" s="84">
        <v>68.9</v>
      </c>
      <c r="AE68" s="22">
        <f t="shared" si="23"/>
        <v>88.92260626992788</v>
      </c>
      <c r="AF68" s="12">
        <f t="shared" si="24"/>
        <v>358.9226062699279</v>
      </c>
      <c r="AG68" s="12">
        <f t="shared" si="25"/>
        <v>5.823149501764334</v>
      </c>
      <c r="AH68" s="48"/>
      <c r="AI68" s="27"/>
    </row>
    <row r="69" spans="1:35" ht="12.75" customHeight="1">
      <c r="A69" s="89">
        <f>H69/100+42.682</f>
        <v>43.383500000000005</v>
      </c>
      <c r="B69" s="90" t="s">
        <v>49</v>
      </c>
      <c r="C69" s="1" t="s">
        <v>46</v>
      </c>
      <c r="D69" s="1">
        <v>3</v>
      </c>
      <c r="E69" s="2" t="s">
        <v>44</v>
      </c>
      <c r="F69" s="15">
        <v>70</v>
      </c>
      <c r="G69" s="17">
        <v>70.3</v>
      </c>
      <c r="H69" s="11">
        <f t="shared" si="27"/>
        <v>70.15</v>
      </c>
      <c r="I69" s="40"/>
      <c r="J69" s="2">
        <v>90</v>
      </c>
      <c r="K69" s="11">
        <v>4</v>
      </c>
      <c r="L69" s="11">
        <v>0</v>
      </c>
      <c r="M69" s="11">
        <v>3</v>
      </c>
      <c r="N69" s="11"/>
      <c r="O69" s="46"/>
      <c r="P69" s="38">
        <f t="shared" si="15"/>
        <v>0.05220846848393198</v>
      </c>
      <c r="Q69" s="38">
        <f t="shared" si="16"/>
        <v>0.06966087492121549</v>
      </c>
      <c r="R69" s="38">
        <f t="shared" si="17"/>
        <v>-0.9961969233988566</v>
      </c>
      <c r="S69" s="62">
        <f t="shared" si="18"/>
        <v>53.149682880599386</v>
      </c>
      <c r="T69" s="12">
        <f t="shared" si="19"/>
        <v>-85.00583060689412</v>
      </c>
      <c r="U69" s="22">
        <f t="shared" si="20"/>
        <v>53.149682880599386</v>
      </c>
      <c r="V69" s="12">
        <f t="shared" si="21"/>
        <v>323.14968288059936</v>
      </c>
      <c r="W69" s="23">
        <f t="shared" si="22"/>
        <v>4.994169393105878</v>
      </c>
      <c r="X69" s="65"/>
      <c r="Y69" s="66"/>
      <c r="Z69" s="27"/>
      <c r="AA69" s="2"/>
      <c r="AB69" s="11"/>
      <c r="AC69" s="83">
        <v>32</v>
      </c>
      <c r="AD69" s="84">
        <v>68.9</v>
      </c>
      <c r="AE69" s="22">
        <f t="shared" si="23"/>
        <v>21.149682880599386</v>
      </c>
      <c r="AF69" s="12">
        <f t="shared" si="24"/>
        <v>291.14968288059936</v>
      </c>
      <c r="AG69" s="12">
        <f t="shared" si="25"/>
        <v>4.994169393105878</v>
      </c>
      <c r="AH69" s="48"/>
      <c r="AI69" s="27"/>
    </row>
    <row r="70" spans="1:35" ht="12.75" customHeight="1">
      <c r="A70" s="89">
        <f>H70/100+42.682</f>
        <v>43.743</v>
      </c>
      <c r="B70" s="90" t="s">
        <v>49</v>
      </c>
      <c r="C70" s="1" t="s">
        <v>46</v>
      </c>
      <c r="D70" s="1">
        <v>3</v>
      </c>
      <c r="E70" s="2" t="s">
        <v>44</v>
      </c>
      <c r="F70" s="15">
        <v>106</v>
      </c>
      <c r="G70" s="17">
        <v>106.2</v>
      </c>
      <c r="H70" s="11">
        <f t="shared" si="27"/>
        <v>106.1</v>
      </c>
      <c r="I70" s="40"/>
      <c r="J70" s="2">
        <v>90</v>
      </c>
      <c r="K70" s="11">
        <v>2</v>
      </c>
      <c r="L70" s="11">
        <v>0</v>
      </c>
      <c r="M70" s="11">
        <v>4</v>
      </c>
      <c r="N70" s="11"/>
      <c r="O70" s="46"/>
      <c r="P70" s="38">
        <f t="shared" si="15"/>
        <v>0.06971397998507722</v>
      </c>
      <c r="Q70" s="38">
        <f t="shared" si="16"/>
        <v>0.03481448328257624</v>
      </c>
      <c r="R70" s="38">
        <f t="shared" si="17"/>
        <v>-0.9969563611936845</v>
      </c>
      <c r="S70" s="62">
        <f t="shared" si="18"/>
        <v>26.537096393580775</v>
      </c>
      <c r="T70" s="12">
        <f t="shared" si="19"/>
        <v>-85.53076266752878</v>
      </c>
      <c r="U70" s="22">
        <f t="shared" si="20"/>
        <v>26.537096393580775</v>
      </c>
      <c r="V70" s="12">
        <f t="shared" si="21"/>
        <v>296.5370963935808</v>
      </c>
      <c r="W70" s="23">
        <f t="shared" si="22"/>
        <v>4.469237332471224</v>
      </c>
      <c r="X70" s="65"/>
      <c r="Y70" s="66"/>
      <c r="Z70" s="27"/>
      <c r="AA70" s="2"/>
      <c r="AB70" s="11"/>
      <c r="AC70" s="83">
        <v>32</v>
      </c>
      <c r="AD70" s="84">
        <v>68.9</v>
      </c>
      <c r="AE70" s="22">
        <f t="shared" si="23"/>
        <v>354.5370963935808</v>
      </c>
      <c r="AF70" s="12">
        <f t="shared" si="24"/>
        <v>264.5370963935808</v>
      </c>
      <c r="AG70" s="12">
        <f t="shared" si="25"/>
        <v>4.469237332471224</v>
      </c>
      <c r="AH70" s="48"/>
      <c r="AI70" s="27"/>
    </row>
    <row r="71" spans="1:35" ht="12.75" customHeight="1">
      <c r="A71" s="89">
        <f>H71/100+45.027</f>
        <v>46.312</v>
      </c>
      <c r="B71" s="90" t="s">
        <v>49</v>
      </c>
      <c r="C71" s="1" t="s">
        <v>46</v>
      </c>
      <c r="D71" s="1">
        <v>6</v>
      </c>
      <c r="E71" s="2" t="s">
        <v>44</v>
      </c>
      <c r="F71" s="15">
        <v>128</v>
      </c>
      <c r="G71" s="17">
        <v>129</v>
      </c>
      <c r="H71" s="11">
        <f t="shared" si="27"/>
        <v>128.5</v>
      </c>
      <c r="I71" s="40"/>
      <c r="J71" s="2">
        <v>90</v>
      </c>
      <c r="K71" s="11">
        <v>2</v>
      </c>
      <c r="L71" s="11">
        <v>0</v>
      </c>
      <c r="M71" s="11">
        <v>0</v>
      </c>
      <c r="N71" s="11"/>
      <c r="O71" s="46"/>
      <c r="P71" s="38">
        <f t="shared" si="15"/>
        <v>0</v>
      </c>
      <c r="Q71" s="38">
        <f t="shared" si="16"/>
        <v>0.03489949670250097</v>
      </c>
      <c r="R71" s="38">
        <f t="shared" si="17"/>
        <v>-0.9993908270190958</v>
      </c>
      <c r="S71" s="62">
        <f t="shared" si="18"/>
        <v>90</v>
      </c>
      <c r="T71" s="12">
        <f t="shared" si="19"/>
        <v>-88.00000000000024</v>
      </c>
      <c r="U71" s="22">
        <f t="shared" si="20"/>
        <v>90</v>
      </c>
      <c r="V71" s="12">
        <f t="shared" si="21"/>
        <v>0</v>
      </c>
      <c r="W71" s="23">
        <f t="shared" si="22"/>
        <v>1.9999999999997584</v>
      </c>
      <c r="X71" s="65"/>
      <c r="Y71" s="66"/>
      <c r="Z71" s="27"/>
      <c r="AA71" s="2"/>
      <c r="AB71" s="11"/>
      <c r="AC71" s="83">
        <v>32</v>
      </c>
      <c r="AD71" s="84">
        <v>68.9</v>
      </c>
      <c r="AE71" s="22">
        <f t="shared" si="23"/>
        <v>58</v>
      </c>
      <c r="AF71" s="12">
        <f t="shared" si="24"/>
        <v>328</v>
      </c>
      <c r="AG71" s="12">
        <f t="shared" si="25"/>
        <v>1.9999999999997584</v>
      </c>
      <c r="AH71" s="48"/>
      <c r="AI71" s="27"/>
    </row>
    <row r="72" spans="1:35" ht="12.75" customHeight="1">
      <c r="A72" s="89">
        <f>H72/100+46.375</f>
        <v>47.03</v>
      </c>
      <c r="B72" s="90" t="s">
        <v>49</v>
      </c>
      <c r="C72" s="1" t="s">
        <v>46</v>
      </c>
      <c r="D72" s="1">
        <v>7</v>
      </c>
      <c r="E72" s="2" t="s">
        <v>44</v>
      </c>
      <c r="F72" s="15">
        <v>65</v>
      </c>
      <c r="G72" s="17">
        <v>66</v>
      </c>
      <c r="H72" s="11">
        <f t="shared" si="27"/>
        <v>65.5</v>
      </c>
      <c r="I72" s="40"/>
      <c r="J72" s="2">
        <v>270</v>
      </c>
      <c r="K72" s="11">
        <v>8</v>
      </c>
      <c r="L72" s="11">
        <v>180</v>
      </c>
      <c r="M72" s="11">
        <v>3</v>
      </c>
      <c r="N72" s="11"/>
      <c r="O72" s="46"/>
      <c r="P72" s="38">
        <f t="shared" si="15"/>
        <v>-0.05182662631444333</v>
      </c>
      <c r="Q72" s="38">
        <f t="shared" si="16"/>
        <v>-0.13898236906210149</v>
      </c>
      <c r="R72" s="38">
        <f t="shared" si="17"/>
        <v>-0.9889109407697048</v>
      </c>
      <c r="S72" s="62">
        <f t="shared" si="18"/>
        <v>249.5494780498733</v>
      </c>
      <c r="T72" s="12">
        <f t="shared" si="19"/>
        <v>-81.46955163874233</v>
      </c>
      <c r="U72" s="22">
        <f t="shared" si="20"/>
        <v>249.5494780498733</v>
      </c>
      <c r="V72" s="12">
        <f t="shared" si="21"/>
        <v>159.5494780498733</v>
      </c>
      <c r="W72" s="23">
        <f t="shared" si="22"/>
        <v>8.530448361257669</v>
      </c>
      <c r="X72" s="65"/>
      <c r="Y72" s="66"/>
      <c r="Z72" s="27"/>
      <c r="AA72" s="2"/>
      <c r="AB72" s="11"/>
      <c r="AC72" s="83">
        <v>32</v>
      </c>
      <c r="AD72" s="84">
        <v>68.9</v>
      </c>
      <c r="AE72" s="22">
        <f t="shared" si="23"/>
        <v>217.5494780498733</v>
      </c>
      <c r="AF72" s="12">
        <f t="shared" si="24"/>
        <v>127.5494780498733</v>
      </c>
      <c r="AG72" s="12">
        <f t="shared" si="25"/>
        <v>8.530448361257669</v>
      </c>
      <c r="AH72" s="48"/>
      <c r="AI72" s="27"/>
    </row>
    <row r="73" spans="1:35" ht="12.75" customHeight="1">
      <c r="A73" s="89">
        <f>H73/100+48.568</f>
        <v>48.903999999999996</v>
      </c>
      <c r="B73" s="90" t="s">
        <v>49</v>
      </c>
      <c r="C73" s="1" t="s">
        <v>46</v>
      </c>
      <c r="D73" s="1" t="s">
        <v>73</v>
      </c>
      <c r="E73" s="2" t="s">
        <v>44</v>
      </c>
      <c r="F73" s="15">
        <v>33.5</v>
      </c>
      <c r="G73" s="17">
        <v>33.7</v>
      </c>
      <c r="H73" s="11">
        <f t="shared" si="27"/>
        <v>33.6</v>
      </c>
      <c r="I73" s="40"/>
      <c r="J73" s="2">
        <v>270</v>
      </c>
      <c r="K73" s="11">
        <v>2</v>
      </c>
      <c r="L73" s="11">
        <v>0</v>
      </c>
      <c r="M73" s="11">
        <v>4</v>
      </c>
      <c r="N73" s="11"/>
      <c r="O73" s="46"/>
      <c r="P73" s="38">
        <f t="shared" si="15"/>
        <v>-0.06971397998507722</v>
      </c>
      <c r="Q73" s="38">
        <f t="shared" si="16"/>
        <v>0.03481448328257626</v>
      </c>
      <c r="R73" s="38">
        <f t="shared" si="17"/>
        <v>0.9969563611936845</v>
      </c>
      <c r="S73" s="62">
        <f t="shared" si="18"/>
        <v>153.46290360641922</v>
      </c>
      <c r="T73" s="12">
        <f t="shared" si="19"/>
        <v>85.53076266752878</v>
      </c>
      <c r="U73" s="22">
        <f t="shared" si="20"/>
        <v>333.4629036064192</v>
      </c>
      <c r="V73" s="12">
        <f t="shared" si="21"/>
        <v>243.46290360641922</v>
      </c>
      <c r="W73" s="23">
        <f t="shared" si="22"/>
        <v>4.469237332471224</v>
      </c>
      <c r="X73" s="65"/>
      <c r="Y73" s="66"/>
      <c r="Z73" s="27"/>
      <c r="AA73" s="2"/>
      <c r="AB73" s="11"/>
      <c r="AC73" s="83">
        <v>32</v>
      </c>
      <c r="AD73" s="84">
        <v>68.9</v>
      </c>
      <c r="AE73" s="22">
        <f t="shared" si="23"/>
        <v>301.4629036064192</v>
      </c>
      <c r="AF73" s="12">
        <f t="shared" si="24"/>
        <v>211.46290360641922</v>
      </c>
      <c r="AG73" s="12">
        <f t="shared" si="25"/>
        <v>4.469237332471224</v>
      </c>
      <c r="AH73" s="48"/>
      <c r="AI73" s="27"/>
    </row>
    <row r="74" spans="1:35" ht="12.75" customHeight="1">
      <c r="A74" s="89">
        <f>H74/100+50.127</f>
        <v>50.222</v>
      </c>
      <c r="B74" s="90" t="s">
        <v>49</v>
      </c>
      <c r="C74" s="1" t="s">
        <v>52</v>
      </c>
      <c r="D74" s="1">
        <v>2</v>
      </c>
      <c r="E74" s="2" t="s">
        <v>44</v>
      </c>
      <c r="F74" s="15">
        <v>9</v>
      </c>
      <c r="G74" s="17">
        <v>10</v>
      </c>
      <c r="H74" s="1">
        <f t="shared" si="27"/>
        <v>9.5</v>
      </c>
      <c r="I74" s="40"/>
      <c r="J74" s="2">
        <v>270</v>
      </c>
      <c r="K74" s="11">
        <v>7</v>
      </c>
      <c r="L74" s="11">
        <v>337</v>
      </c>
      <c r="M74" s="11">
        <v>0</v>
      </c>
      <c r="N74" s="11"/>
      <c r="O74" s="46"/>
      <c r="P74" s="38">
        <f t="shared" si="15"/>
        <v>0.047618146076940225</v>
      </c>
      <c r="Q74" s="38">
        <f t="shared" si="16"/>
        <v>0.11218132209150035</v>
      </c>
      <c r="R74" s="38">
        <f t="shared" si="17"/>
        <v>0.9136435498613784</v>
      </c>
      <c r="S74" s="62">
        <f t="shared" si="18"/>
        <v>66.99999999999994</v>
      </c>
      <c r="T74" s="12">
        <f t="shared" si="19"/>
        <v>82.40226332398453</v>
      </c>
      <c r="U74" s="22">
        <f t="shared" si="20"/>
        <v>246.99999999999994</v>
      </c>
      <c r="V74" s="12">
        <f t="shared" si="21"/>
        <v>156.99999999999994</v>
      </c>
      <c r="W74" s="23">
        <f t="shared" si="22"/>
        <v>7.597736676015472</v>
      </c>
      <c r="X74" s="65"/>
      <c r="Y74" s="66"/>
      <c r="Z74" s="27"/>
      <c r="AA74" s="2"/>
      <c r="AB74" s="11"/>
      <c r="AC74" s="83">
        <v>293.7</v>
      </c>
      <c r="AD74" s="84">
        <v>61.4</v>
      </c>
      <c r="AE74" s="22">
        <f t="shared" si="23"/>
        <v>313.29999999999995</v>
      </c>
      <c r="AF74" s="12">
        <f t="shared" si="24"/>
        <v>223.29999999999995</v>
      </c>
      <c r="AG74" s="12">
        <f t="shared" si="25"/>
        <v>7.597736676015472</v>
      </c>
      <c r="AH74" s="48"/>
      <c r="AI74" s="27"/>
    </row>
    <row r="75" spans="1:35" ht="12.75" customHeight="1">
      <c r="A75" s="89">
        <f>H75/100+49</f>
        <v>50.275</v>
      </c>
      <c r="B75" s="90" t="s">
        <v>49</v>
      </c>
      <c r="C75" s="1" t="s">
        <v>52</v>
      </c>
      <c r="D75" s="1">
        <v>1</v>
      </c>
      <c r="E75" s="2" t="s">
        <v>44</v>
      </c>
      <c r="F75" s="15">
        <v>127</v>
      </c>
      <c r="G75" s="17">
        <v>128</v>
      </c>
      <c r="H75" s="1">
        <f t="shared" si="27"/>
        <v>127.5</v>
      </c>
      <c r="I75" s="40"/>
      <c r="J75" s="2">
        <v>270</v>
      </c>
      <c r="K75" s="11">
        <v>8</v>
      </c>
      <c r="L75" s="11">
        <v>164</v>
      </c>
      <c r="M75" s="11">
        <v>0</v>
      </c>
      <c r="N75" s="11"/>
      <c r="O75" s="46"/>
      <c r="P75" s="38">
        <f t="shared" si="15"/>
        <v>-0.038361305549484775</v>
      </c>
      <c r="Q75" s="38">
        <f t="shared" si="16"/>
        <v>-0.13378177105786734</v>
      </c>
      <c r="R75" s="38">
        <f t="shared" si="17"/>
        <v>-0.9519067631920854</v>
      </c>
      <c r="S75" s="62">
        <f t="shared" si="18"/>
        <v>253.99999999999997</v>
      </c>
      <c r="T75" s="12">
        <f t="shared" si="19"/>
        <v>-81.68202984638074</v>
      </c>
      <c r="U75" s="22">
        <f t="shared" si="20"/>
        <v>253.99999999999997</v>
      </c>
      <c r="V75" s="12">
        <f t="shared" si="21"/>
        <v>163.99999999999997</v>
      </c>
      <c r="W75" s="23">
        <f t="shared" si="22"/>
        <v>8.317970153619257</v>
      </c>
      <c r="X75" s="65"/>
      <c r="Y75" s="66"/>
      <c r="Z75" s="27"/>
      <c r="AA75" s="2"/>
      <c r="AB75" s="1"/>
      <c r="AC75" s="83">
        <v>293.7</v>
      </c>
      <c r="AD75" s="84">
        <v>61.4</v>
      </c>
      <c r="AE75" s="22">
        <f t="shared" si="23"/>
        <v>320.29999999999995</v>
      </c>
      <c r="AF75" s="12">
        <f t="shared" si="24"/>
        <v>230.29999999999995</v>
      </c>
      <c r="AG75" s="12">
        <f t="shared" si="25"/>
        <v>8.317970153619257</v>
      </c>
      <c r="AH75" s="48"/>
      <c r="AI75" s="27"/>
    </row>
    <row r="76" spans="1:35" ht="12.75" customHeight="1">
      <c r="A76" s="89">
        <f>H76/100+50.127</f>
        <v>50.682</v>
      </c>
      <c r="B76" s="90" t="s">
        <v>49</v>
      </c>
      <c r="C76" s="1" t="s">
        <v>52</v>
      </c>
      <c r="D76" s="1">
        <v>2</v>
      </c>
      <c r="E76" s="2" t="s">
        <v>44</v>
      </c>
      <c r="F76" s="15">
        <v>55</v>
      </c>
      <c r="G76" s="17">
        <v>56</v>
      </c>
      <c r="H76" s="1">
        <f t="shared" si="27"/>
        <v>55.5</v>
      </c>
      <c r="I76" s="40"/>
      <c r="J76" s="2">
        <v>270</v>
      </c>
      <c r="K76" s="11">
        <v>5</v>
      </c>
      <c r="L76" s="11">
        <v>118</v>
      </c>
      <c r="M76" s="11">
        <v>0</v>
      </c>
      <c r="N76" s="11"/>
      <c r="O76" s="46"/>
      <c r="P76" s="38">
        <f t="shared" si="15"/>
        <v>-0.07695395326287667</v>
      </c>
      <c r="Q76" s="38">
        <f t="shared" si="16"/>
        <v>-0.04091714275350812</v>
      </c>
      <c r="R76" s="38">
        <f t="shared" si="17"/>
        <v>-0.46768508175215034</v>
      </c>
      <c r="S76" s="62">
        <f t="shared" si="18"/>
        <v>207.99999999999997</v>
      </c>
      <c r="T76" s="12">
        <f t="shared" si="19"/>
        <v>-79.44369920614439</v>
      </c>
      <c r="U76" s="22">
        <f t="shared" si="20"/>
        <v>207.99999999999997</v>
      </c>
      <c r="V76" s="12">
        <f t="shared" si="21"/>
        <v>117.99999999999997</v>
      </c>
      <c r="W76" s="23">
        <f t="shared" si="22"/>
        <v>10.556300793855613</v>
      </c>
      <c r="X76" s="65"/>
      <c r="Y76" s="66"/>
      <c r="Z76" s="27"/>
      <c r="AA76" s="2"/>
      <c r="AB76" s="11"/>
      <c r="AC76" s="83">
        <v>293.7</v>
      </c>
      <c r="AD76" s="84">
        <v>61.4</v>
      </c>
      <c r="AE76" s="22">
        <f t="shared" si="23"/>
        <v>274.29999999999995</v>
      </c>
      <c r="AF76" s="12">
        <f t="shared" si="24"/>
        <v>184.29999999999995</v>
      </c>
      <c r="AG76" s="12">
        <f t="shared" si="25"/>
        <v>10.556300793855613</v>
      </c>
      <c r="AH76" s="48"/>
      <c r="AI76" s="27"/>
    </row>
    <row r="77" spans="1:35" ht="12.75" customHeight="1">
      <c r="A77" s="89">
        <f>H77/100+50.127</f>
        <v>50.872</v>
      </c>
      <c r="B77" s="90" t="s">
        <v>49</v>
      </c>
      <c r="C77" s="1" t="s">
        <v>52</v>
      </c>
      <c r="D77" s="1">
        <v>2</v>
      </c>
      <c r="E77" s="2" t="s">
        <v>44</v>
      </c>
      <c r="F77" s="15">
        <v>74</v>
      </c>
      <c r="G77" s="17">
        <v>75</v>
      </c>
      <c r="H77" s="1">
        <f t="shared" si="27"/>
        <v>74.5</v>
      </c>
      <c r="I77" s="40"/>
      <c r="J77" s="2">
        <v>270</v>
      </c>
      <c r="K77" s="11">
        <v>8</v>
      </c>
      <c r="L77" s="11">
        <v>337</v>
      </c>
      <c r="M77" s="11">
        <v>0</v>
      </c>
      <c r="N77" s="11"/>
      <c r="O77" s="46"/>
      <c r="P77" s="38">
        <f t="shared" si="15"/>
        <v>0.05437926279347813</v>
      </c>
      <c r="Q77" s="38">
        <f t="shared" si="16"/>
        <v>0.12810951490376665</v>
      </c>
      <c r="R77" s="38">
        <f t="shared" si="17"/>
        <v>0.91154656349559</v>
      </c>
      <c r="S77" s="62">
        <f t="shared" si="18"/>
        <v>66.99999999999994</v>
      </c>
      <c r="T77" s="12">
        <f t="shared" si="19"/>
        <v>81.31923227703912</v>
      </c>
      <c r="U77" s="22">
        <f t="shared" si="20"/>
        <v>246.99999999999994</v>
      </c>
      <c r="V77" s="12">
        <f t="shared" si="21"/>
        <v>156.99999999999994</v>
      </c>
      <c r="W77" s="23">
        <f t="shared" si="22"/>
        <v>8.68076772296088</v>
      </c>
      <c r="X77" s="65"/>
      <c r="Y77" s="66"/>
      <c r="Z77" s="27"/>
      <c r="AA77" s="2"/>
      <c r="AB77" s="11"/>
      <c r="AC77" s="83">
        <v>293.7</v>
      </c>
      <c r="AD77" s="84">
        <v>61.4</v>
      </c>
      <c r="AE77" s="22">
        <f t="shared" si="23"/>
        <v>313.29999999999995</v>
      </c>
      <c r="AF77" s="12">
        <f t="shared" si="24"/>
        <v>223.29999999999995</v>
      </c>
      <c r="AG77" s="12">
        <f t="shared" si="25"/>
        <v>8.68076772296088</v>
      </c>
      <c r="AH77" s="48"/>
      <c r="AI77" s="27"/>
    </row>
    <row r="78" spans="1:35" ht="12.75" customHeight="1">
      <c r="A78" s="89">
        <f>H78/100+50.127</f>
        <v>51.152</v>
      </c>
      <c r="B78" s="90" t="s">
        <v>49</v>
      </c>
      <c r="C78" s="1" t="s">
        <v>52</v>
      </c>
      <c r="D78" s="1">
        <v>2</v>
      </c>
      <c r="E78" s="2" t="s">
        <v>44</v>
      </c>
      <c r="F78" s="15">
        <v>102</v>
      </c>
      <c r="G78" s="17">
        <v>103</v>
      </c>
      <c r="H78" s="1">
        <f t="shared" si="27"/>
        <v>102.5</v>
      </c>
      <c r="I78" s="40"/>
      <c r="J78" s="2">
        <v>90</v>
      </c>
      <c r="K78" s="11">
        <v>3</v>
      </c>
      <c r="L78" s="11">
        <v>83</v>
      </c>
      <c r="M78" s="11">
        <v>0</v>
      </c>
      <c r="N78" s="11"/>
      <c r="O78" s="46"/>
      <c r="P78" s="38">
        <f t="shared" si="15"/>
        <v>-0.051945851961402514</v>
      </c>
      <c r="Q78" s="38">
        <f t="shared" si="16"/>
        <v>0.006378148623808094</v>
      </c>
      <c r="R78" s="38">
        <f t="shared" si="17"/>
        <v>-0.12170232570552778</v>
      </c>
      <c r="S78" s="62">
        <f t="shared" si="18"/>
        <v>173</v>
      </c>
      <c r="T78" s="12">
        <f t="shared" si="19"/>
        <v>-66.73072332935335</v>
      </c>
      <c r="U78" s="22">
        <f t="shared" si="20"/>
        <v>173</v>
      </c>
      <c r="V78" s="12">
        <f t="shared" si="21"/>
        <v>83</v>
      </c>
      <c r="W78" s="23">
        <f t="shared" si="22"/>
        <v>23.269276670646647</v>
      </c>
      <c r="X78" s="65"/>
      <c r="Y78" s="66"/>
      <c r="Z78" s="27"/>
      <c r="AA78" s="2"/>
      <c r="AB78" s="11"/>
      <c r="AC78" s="83">
        <v>293.7</v>
      </c>
      <c r="AD78" s="84">
        <v>61.4</v>
      </c>
      <c r="AE78" s="22">
        <f t="shared" si="23"/>
        <v>239.3</v>
      </c>
      <c r="AF78" s="12">
        <f t="shared" si="24"/>
        <v>149.3</v>
      </c>
      <c r="AG78" s="12">
        <f t="shared" si="25"/>
        <v>23.269276670646647</v>
      </c>
      <c r="AH78" s="48"/>
      <c r="AI78" s="27"/>
    </row>
    <row r="79" spans="1:39" ht="12.75" customHeight="1">
      <c r="A79" s="89">
        <f>H79/100+52.119</f>
        <v>52.389</v>
      </c>
      <c r="B79" s="90" t="s">
        <v>49</v>
      </c>
      <c r="C79" s="1" t="s">
        <v>52</v>
      </c>
      <c r="D79" s="80">
        <v>6</v>
      </c>
      <c r="E79" s="76" t="s">
        <v>50</v>
      </c>
      <c r="F79" s="77">
        <v>25</v>
      </c>
      <c r="G79" s="78">
        <v>29</v>
      </c>
      <c r="H79" s="80">
        <f t="shared" si="27"/>
        <v>27</v>
      </c>
      <c r="I79" s="79"/>
      <c r="J79" s="76">
        <v>270</v>
      </c>
      <c r="K79" s="81">
        <v>34</v>
      </c>
      <c r="L79" s="81">
        <v>343</v>
      </c>
      <c r="M79" s="81">
        <v>0</v>
      </c>
      <c r="N79" s="81"/>
      <c r="O79" s="74"/>
      <c r="P79" s="38">
        <f t="shared" si="15"/>
        <v>0.16349218245659877</v>
      </c>
      <c r="Q79" s="38">
        <f t="shared" si="16"/>
        <v>0.534758833089854</v>
      </c>
      <c r="R79" s="38">
        <f t="shared" si="17"/>
        <v>0.7928125735064365</v>
      </c>
      <c r="S79" s="62">
        <f t="shared" si="18"/>
        <v>73.00000000000003</v>
      </c>
      <c r="T79" s="12">
        <f t="shared" si="19"/>
        <v>54.80361190561347</v>
      </c>
      <c r="U79" s="22">
        <f t="shared" si="20"/>
        <v>253.00000000000003</v>
      </c>
      <c r="V79" s="12">
        <f t="shared" si="21"/>
        <v>163.00000000000003</v>
      </c>
      <c r="W79" s="23">
        <f t="shared" si="22"/>
        <v>35.19638809438653</v>
      </c>
      <c r="X79" s="65"/>
      <c r="Y79" s="66"/>
      <c r="Z79" s="27" t="s">
        <v>51</v>
      </c>
      <c r="AA79" s="72"/>
      <c r="AB79" s="28"/>
      <c r="AC79" s="83">
        <v>293.7</v>
      </c>
      <c r="AD79" s="84">
        <v>61.4</v>
      </c>
      <c r="AE79" s="22">
        <f t="shared" si="23"/>
        <v>319.30000000000007</v>
      </c>
      <c r="AF79" s="12">
        <f t="shared" si="24"/>
        <v>229.30000000000007</v>
      </c>
      <c r="AG79" s="12">
        <f t="shared" si="25"/>
        <v>35.19638809438653</v>
      </c>
      <c r="AH79" s="48"/>
      <c r="AI79" s="27" t="str">
        <f>Z79</f>
        <v>N</v>
      </c>
      <c r="AJ79" t="s">
        <v>56</v>
      </c>
      <c r="AM79" s="54"/>
    </row>
    <row r="80" spans="1:35" ht="12.75" customHeight="1">
      <c r="A80" s="89">
        <f>H80/100+52.119</f>
        <v>52.674</v>
      </c>
      <c r="B80" s="90" t="s">
        <v>49</v>
      </c>
      <c r="C80" s="1" t="s">
        <v>52</v>
      </c>
      <c r="D80" s="80">
        <v>6</v>
      </c>
      <c r="E80" s="76" t="s">
        <v>44</v>
      </c>
      <c r="F80" s="77">
        <v>55</v>
      </c>
      <c r="G80" s="78">
        <v>56</v>
      </c>
      <c r="H80" s="80">
        <f t="shared" si="27"/>
        <v>55.5</v>
      </c>
      <c r="I80" s="79"/>
      <c r="J80" s="76">
        <v>270</v>
      </c>
      <c r="K80" s="81">
        <v>6</v>
      </c>
      <c r="L80" s="81">
        <v>347</v>
      </c>
      <c r="M80" s="81">
        <v>0</v>
      </c>
      <c r="N80" s="81"/>
      <c r="O80" s="74"/>
      <c r="P80" s="38">
        <f t="shared" si="15"/>
        <v>0.023513788021002645</v>
      </c>
      <c r="Q80" s="38">
        <f t="shared" si="16"/>
        <v>0.10184940552600456</v>
      </c>
      <c r="R80" s="38">
        <f t="shared" si="17"/>
        <v>0.9690323636203193</v>
      </c>
      <c r="S80" s="62">
        <f t="shared" si="18"/>
        <v>76.99999999999999</v>
      </c>
      <c r="T80" s="12">
        <f t="shared" si="19"/>
        <v>83.84337205829318</v>
      </c>
      <c r="U80" s="22">
        <f t="shared" si="20"/>
        <v>257</v>
      </c>
      <c r="V80" s="12">
        <f t="shared" si="21"/>
        <v>167</v>
      </c>
      <c r="W80" s="23">
        <f t="shared" si="22"/>
        <v>6.156627941706816</v>
      </c>
      <c r="X80" s="65"/>
      <c r="Y80" s="66"/>
      <c r="Z80" s="75"/>
      <c r="AA80" s="72"/>
      <c r="AB80" s="28"/>
      <c r="AC80" s="83">
        <v>293.7</v>
      </c>
      <c r="AD80" s="84">
        <v>61.4</v>
      </c>
      <c r="AE80" s="22">
        <f t="shared" si="23"/>
        <v>323.3</v>
      </c>
      <c r="AF80" s="12">
        <f t="shared" si="24"/>
        <v>233.3</v>
      </c>
      <c r="AG80" s="12">
        <f t="shared" si="25"/>
        <v>6.156627941706816</v>
      </c>
      <c r="AH80" s="48"/>
      <c r="AI80" s="27"/>
    </row>
    <row r="81" spans="1:39" ht="12.75" customHeight="1">
      <c r="A81" s="89">
        <f>H81/100+52.119</f>
        <v>52.714</v>
      </c>
      <c r="B81" s="90" t="s">
        <v>49</v>
      </c>
      <c r="C81" s="1" t="s">
        <v>52</v>
      </c>
      <c r="D81" s="80">
        <v>6</v>
      </c>
      <c r="E81" s="2" t="s">
        <v>148</v>
      </c>
      <c r="F81" s="77">
        <v>58</v>
      </c>
      <c r="G81" s="78">
        <v>61</v>
      </c>
      <c r="H81" s="80">
        <f t="shared" si="27"/>
        <v>59.5</v>
      </c>
      <c r="I81" s="79"/>
      <c r="J81" s="76"/>
      <c r="K81" s="81"/>
      <c r="L81" s="81"/>
      <c r="M81" s="81"/>
      <c r="N81" s="81"/>
      <c r="O81" s="74"/>
      <c r="P81" s="38"/>
      <c r="Q81" s="38"/>
      <c r="R81" s="38"/>
      <c r="S81" s="62"/>
      <c r="T81" s="12"/>
      <c r="U81" s="22"/>
      <c r="V81" s="12"/>
      <c r="W81" s="23"/>
      <c r="X81" s="65"/>
      <c r="Y81" s="66"/>
      <c r="Z81" s="75"/>
      <c r="AA81" s="72"/>
      <c r="AB81" s="28"/>
      <c r="AC81" s="83"/>
      <c r="AD81" s="84"/>
      <c r="AE81" s="22"/>
      <c r="AF81" s="12"/>
      <c r="AG81" s="12"/>
      <c r="AH81" s="48"/>
      <c r="AI81" s="27"/>
      <c r="AL81" s="54"/>
      <c r="AM81" s="54"/>
    </row>
    <row r="82" spans="1:35" ht="12.75" customHeight="1">
      <c r="A82" s="89">
        <f>H82/100+52.119</f>
        <v>52.874</v>
      </c>
      <c r="B82" s="90" t="s">
        <v>49</v>
      </c>
      <c r="C82" s="1" t="s">
        <v>52</v>
      </c>
      <c r="D82" s="80">
        <v>6</v>
      </c>
      <c r="E82" s="76" t="s">
        <v>44</v>
      </c>
      <c r="F82" s="77">
        <v>75</v>
      </c>
      <c r="G82" s="78">
        <v>76</v>
      </c>
      <c r="H82" s="80">
        <f t="shared" si="27"/>
        <v>75.5</v>
      </c>
      <c r="I82" s="79"/>
      <c r="J82" s="76">
        <v>270</v>
      </c>
      <c r="K82" s="81">
        <v>5</v>
      </c>
      <c r="L82" s="81">
        <v>328</v>
      </c>
      <c r="M82" s="81">
        <v>0</v>
      </c>
      <c r="N82" s="81"/>
      <c r="O82" s="74"/>
      <c r="P82" s="38">
        <f aca="true" t="shared" si="28" ref="P82:P87">COS(K82*PI()/180)*SIN(J82*PI()/180)*(SIN((M82)*PI()/180))-(COS((M82)*PI()/180)*SIN(L82*PI()/180))*(SIN(K82*PI()/180))</f>
        <v>0.046185507070537576</v>
      </c>
      <c r="Q82" s="38">
        <f aca="true" t="shared" si="29" ref="Q82:Q87">(SIN(K82*PI()/180))*(COS((M82)*PI()/180)*COS(L82*PI()/180))-(SIN((M82)*PI()/180))*(COS(K82*PI()/180)*COS(J82*PI()/180))</f>
        <v>0.07391226170625069</v>
      </c>
      <c r="R82" s="38">
        <f aca="true" t="shared" si="30" ref="R82:R87">(COS(K82*PI()/180)*COS(J82*PI()/180))*(COS((M82)*PI()/180)*SIN(L82*PI()/180))-(COS(K82*PI()/180)*SIN(J82*PI()/180))*(COS((M82)*PI()/180)*COS(L82*PI()/180))</f>
        <v>0.8448210171178299</v>
      </c>
      <c r="S82" s="62">
        <f aca="true" t="shared" si="31" ref="S82:S87">IF(P82=0,IF(Q82&gt;=0,90,270),IF(P82&gt;0,IF(Q82&gt;=0,ATAN(Q82/P82)*180/PI(),ATAN(Q82/P82)*180/PI()+360),ATAN(Q82/P82)*180/PI()+180))</f>
        <v>57.999999999999936</v>
      </c>
      <c r="T82" s="12">
        <f aca="true" t="shared" si="32" ref="T82:T87">ASIN(R82/SQRT(P82^2+Q82^2+R82^2))*180/PI()</f>
        <v>84.10993260468489</v>
      </c>
      <c r="U82" s="22">
        <f aca="true" t="shared" si="33" ref="U82:U87">IF(R82&lt;0,S82,IF(S82+180&gt;=360,S82-180,S82+180))</f>
        <v>237.99999999999994</v>
      </c>
      <c r="V82" s="12">
        <f aca="true" t="shared" si="34" ref="V82:V87">IF(U82-90&lt;0,U82+270,U82-90)</f>
        <v>147.99999999999994</v>
      </c>
      <c r="W82" s="23">
        <f aca="true" t="shared" si="35" ref="W82:W87">IF(R82&lt;0,90+T82,90-T82)</f>
        <v>5.890067395315114</v>
      </c>
      <c r="X82" s="65"/>
      <c r="Y82" s="66"/>
      <c r="Z82" s="75"/>
      <c r="AA82" s="72"/>
      <c r="AB82" s="28"/>
      <c r="AC82" s="83">
        <v>293.7</v>
      </c>
      <c r="AD82" s="84">
        <v>61.4</v>
      </c>
      <c r="AE82" s="22">
        <f aca="true" t="shared" si="36" ref="AE82:AE87">IF(AD82&gt;=0,IF(U82&gt;=AC82,U82-AC82,U82-AC82+360),IF((U82-AC82-180)&lt;0,IF(U82-AC82+180&lt;0,U82-AC82+540,U82-AC82+180),U82-AC82-180))</f>
        <v>304.29999999999995</v>
      </c>
      <c r="AF82" s="12">
        <f aca="true" t="shared" si="37" ref="AF82:AF87">IF(AE82-90&lt;0,AE82+270,AE82-90)</f>
        <v>214.29999999999995</v>
      </c>
      <c r="AG82" s="12">
        <f aca="true" t="shared" si="38" ref="AG82:AG87">W82</f>
        <v>5.890067395315114</v>
      </c>
      <c r="AH82" s="48"/>
      <c r="AI82" s="27"/>
    </row>
    <row r="83" spans="1:35" ht="12.75" customHeight="1">
      <c r="A83" s="89">
        <f>H83/100+52.119</f>
        <v>52.924</v>
      </c>
      <c r="B83" s="90" t="s">
        <v>49</v>
      </c>
      <c r="C83" s="1" t="s">
        <v>52</v>
      </c>
      <c r="D83" s="80">
        <v>6</v>
      </c>
      <c r="E83" s="76" t="s">
        <v>44</v>
      </c>
      <c r="F83" s="77">
        <v>80</v>
      </c>
      <c r="G83" s="78">
        <v>81</v>
      </c>
      <c r="H83" s="80">
        <f t="shared" si="27"/>
        <v>80.5</v>
      </c>
      <c r="I83" s="79"/>
      <c r="J83" s="76">
        <v>270</v>
      </c>
      <c r="K83" s="81">
        <v>5</v>
      </c>
      <c r="L83" s="81">
        <v>328</v>
      </c>
      <c r="M83" s="81">
        <v>0</v>
      </c>
      <c r="N83" s="81"/>
      <c r="O83" s="74"/>
      <c r="P83" s="38">
        <f t="shared" si="28"/>
        <v>0.046185507070537576</v>
      </c>
      <c r="Q83" s="38">
        <f t="shared" si="29"/>
        <v>0.07391226170625069</v>
      </c>
      <c r="R83" s="38">
        <f t="shared" si="30"/>
        <v>0.8448210171178299</v>
      </c>
      <c r="S83" s="62">
        <f t="shared" si="31"/>
        <v>57.999999999999936</v>
      </c>
      <c r="T83" s="12">
        <f t="shared" si="32"/>
        <v>84.10993260468489</v>
      </c>
      <c r="U83" s="22">
        <f t="shared" si="33"/>
        <v>237.99999999999994</v>
      </c>
      <c r="V83" s="12">
        <f t="shared" si="34"/>
        <v>147.99999999999994</v>
      </c>
      <c r="W83" s="23">
        <f t="shared" si="35"/>
        <v>5.890067395315114</v>
      </c>
      <c r="X83" s="65"/>
      <c r="Y83" s="66"/>
      <c r="Z83" s="75"/>
      <c r="AA83" s="72"/>
      <c r="AB83" s="28"/>
      <c r="AC83" s="83">
        <v>293.7</v>
      </c>
      <c r="AD83" s="84">
        <v>61.4</v>
      </c>
      <c r="AE83" s="22">
        <f t="shared" si="36"/>
        <v>304.29999999999995</v>
      </c>
      <c r="AF83" s="12">
        <f t="shared" si="37"/>
        <v>214.29999999999995</v>
      </c>
      <c r="AG83" s="12">
        <f t="shared" si="38"/>
        <v>5.890067395315114</v>
      </c>
      <c r="AH83" s="48"/>
      <c r="AI83" s="27"/>
    </row>
    <row r="84" spans="1:35" ht="12.75" customHeight="1">
      <c r="A84" s="89">
        <f>H84/100+53.07</f>
        <v>53.585</v>
      </c>
      <c r="B84" s="90" t="s">
        <v>49</v>
      </c>
      <c r="C84" s="1" t="s">
        <v>52</v>
      </c>
      <c r="D84" s="80">
        <v>7</v>
      </c>
      <c r="E84" s="76" t="s">
        <v>44</v>
      </c>
      <c r="F84" s="77">
        <v>51</v>
      </c>
      <c r="G84" s="78">
        <v>52</v>
      </c>
      <c r="H84" s="80">
        <f t="shared" si="27"/>
        <v>51.5</v>
      </c>
      <c r="I84" s="79"/>
      <c r="J84" s="76">
        <v>270</v>
      </c>
      <c r="K84" s="81">
        <v>6</v>
      </c>
      <c r="L84" s="81">
        <v>44</v>
      </c>
      <c r="M84" s="81">
        <v>0</v>
      </c>
      <c r="N84" s="81"/>
      <c r="O84" s="74"/>
      <c r="P84" s="38">
        <f t="shared" si="28"/>
        <v>-0.0726115719600913</v>
      </c>
      <c r="Q84" s="38">
        <f t="shared" si="29"/>
        <v>0.07519148389665987</v>
      </c>
      <c r="R84" s="38">
        <f t="shared" si="30"/>
        <v>0.7153991816466305</v>
      </c>
      <c r="S84" s="62">
        <f t="shared" si="31"/>
        <v>134</v>
      </c>
      <c r="T84" s="12">
        <f t="shared" si="32"/>
        <v>81.68721717008462</v>
      </c>
      <c r="U84" s="22">
        <f t="shared" si="33"/>
        <v>314</v>
      </c>
      <c r="V84" s="12">
        <f t="shared" si="34"/>
        <v>224</v>
      </c>
      <c r="W84" s="23">
        <f t="shared" si="35"/>
        <v>8.312782829915378</v>
      </c>
      <c r="X84" s="65"/>
      <c r="Y84" s="66"/>
      <c r="Z84" s="27"/>
      <c r="AA84" s="72"/>
      <c r="AB84" s="73"/>
      <c r="AC84" s="83">
        <v>293.7</v>
      </c>
      <c r="AD84" s="84">
        <v>61.4</v>
      </c>
      <c r="AE84" s="22">
        <f t="shared" si="36"/>
        <v>20.30000000000001</v>
      </c>
      <c r="AF84" s="12">
        <f t="shared" si="37"/>
        <v>290.3</v>
      </c>
      <c r="AG84" s="12">
        <f t="shared" si="38"/>
        <v>8.312782829915378</v>
      </c>
      <c r="AH84" s="48"/>
      <c r="AI84" s="27"/>
    </row>
    <row r="85" spans="1:39" ht="12.75" customHeight="1">
      <c r="A85" s="89">
        <f>H85/100+53.07</f>
        <v>53.755</v>
      </c>
      <c r="B85" s="90" t="s">
        <v>49</v>
      </c>
      <c r="C85" s="1" t="s">
        <v>52</v>
      </c>
      <c r="D85" s="80">
        <v>7</v>
      </c>
      <c r="E85" s="76" t="s">
        <v>50</v>
      </c>
      <c r="F85" s="77">
        <v>63</v>
      </c>
      <c r="G85" s="78">
        <v>74</v>
      </c>
      <c r="H85" s="80">
        <f t="shared" si="27"/>
        <v>68.5</v>
      </c>
      <c r="I85" s="79"/>
      <c r="J85" s="76">
        <v>270</v>
      </c>
      <c r="K85" s="81">
        <v>48</v>
      </c>
      <c r="L85" s="81">
        <v>316</v>
      </c>
      <c r="M85" s="81">
        <v>0</v>
      </c>
      <c r="N85" s="81"/>
      <c r="O85" s="74"/>
      <c r="P85" s="38">
        <f t="shared" si="28"/>
        <v>0.5162317734811628</v>
      </c>
      <c r="Q85" s="38">
        <f t="shared" si="29"/>
        <v>0.5345736503816102</v>
      </c>
      <c r="R85" s="38">
        <f t="shared" si="30"/>
        <v>0.4813322767786616</v>
      </c>
      <c r="S85" s="62">
        <f t="shared" si="31"/>
        <v>45.99999999999998</v>
      </c>
      <c r="T85" s="12">
        <f t="shared" si="32"/>
        <v>32.930987583175636</v>
      </c>
      <c r="U85" s="22">
        <f t="shared" si="33"/>
        <v>225.99999999999997</v>
      </c>
      <c r="V85" s="12">
        <f t="shared" si="34"/>
        <v>135.99999999999997</v>
      </c>
      <c r="W85" s="23">
        <f t="shared" si="35"/>
        <v>57.069012416824364</v>
      </c>
      <c r="X85" s="65"/>
      <c r="Y85" s="66"/>
      <c r="Z85" s="71" t="s">
        <v>142</v>
      </c>
      <c r="AA85" s="72"/>
      <c r="AB85" s="73"/>
      <c r="AC85" s="83">
        <v>293.7</v>
      </c>
      <c r="AD85" s="84">
        <v>61.4</v>
      </c>
      <c r="AE85" s="22">
        <f t="shared" si="36"/>
        <v>292.29999999999995</v>
      </c>
      <c r="AF85" s="12">
        <f t="shared" si="37"/>
        <v>202.29999999999995</v>
      </c>
      <c r="AG85" s="12">
        <f t="shared" si="38"/>
        <v>57.069012416824364</v>
      </c>
      <c r="AH85" s="48"/>
      <c r="AI85" s="27" t="str">
        <f>Z85</f>
        <v>N</v>
      </c>
      <c r="AJ85" t="s">
        <v>57</v>
      </c>
      <c r="AM85" s="54"/>
    </row>
    <row r="86" spans="1:39" ht="12.75" customHeight="1">
      <c r="A86" s="89">
        <f>H86/100+53.07</f>
        <v>53.775</v>
      </c>
      <c r="B86" s="90" t="s">
        <v>49</v>
      </c>
      <c r="C86" s="1" t="s">
        <v>52</v>
      </c>
      <c r="D86" s="80">
        <v>7</v>
      </c>
      <c r="E86" s="76" t="s">
        <v>50</v>
      </c>
      <c r="F86" s="77">
        <v>69</v>
      </c>
      <c r="G86" s="78">
        <v>72</v>
      </c>
      <c r="H86" s="80">
        <f t="shared" si="27"/>
        <v>70.5</v>
      </c>
      <c r="I86" s="79"/>
      <c r="J86" s="76">
        <v>270</v>
      </c>
      <c r="K86" s="81">
        <v>36</v>
      </c>
      <c r="L86" s="81">
        <v>324</v>
      </c>
      <c r="M86" s="81">
        <v>0</v>
      </c>
      <c r="N86" s="81"/>
      <c r="O86" s="74"/>
      <c r="P86" s="38">
        <f t="shared" si="28"/>
        <v>0.34549150281252644</v>
      </c>
      <c r="Q86" s="38">
        <f t="shared" si="29"/>
        <v>0.47552825814757677</v>
      </c>
      <c r="R86" s="38">
        <f t="shared" si="30"/>
        <v>0.6545084971874737</v>
      </c>
      <c r="S86" s="62">
        <f t="shared" si="31"/>
        <v>53.999999999999986</v>
      </c>
      <c r="T86" s="12">
        <f t="shared" si="32"/>
        <v>48.07438607418091</v>
      </c>
      <c r="U86" s="22">
        <f t="shared" si="33"/>
        <v>234</v>
      </c>
      <c r="V86" s="12">
        <f t="shared" si="34"/>
        <v>144</v>
      </c>
      <c r="W86" s="23">
        <f t="shared" si="35"/>
        <v>41.92561392581909</v>
      </c>
      <c r="X86" s="65"/>
      <c r="Y86" s="66"/>
      <c r="Z86" s="71" t="s">
        <v>142</v>
      </c>
      <c r="AA86" s="72"/>
      <c r="AB86" s="73"/>
      <c r="AC86" s="83">
        <v>293.7</v>
      </c>
      <c r="AD86" s="84">
        <v>61.4</v>
      </c>
      <c r="AE86" s="22">
        <f t="shared" si="36"/>
        <v>300.3</v>
      </c>
      <c r="AF86" s="12">
        <f t="shared" si="37"/>
        <v>210.3</v>
      </c>
      <c r="AG86" s="12">
        <f t="shared" si="38"/>
        <v>41.92561392581909</v>
      </c>
      <c r="AH86" s="48"/>
      <c r="AI86" s="27" t="str">
        <f>Z86</f>
        <v>N</v>
      </c>
      <c r="AJ86" t="s">
        <v>55</v>
      </c>
      <c r="AM86" s="54"/>
    </row>
    <row r="87" spans="1:35" ht="12.75" customHeight="1">
      <c r="A87" s="89">
        <f>H87/100+53.07</f>
        <v>54.215</v>
      </c>
      <c r="B87" s="90" t="s">
        <v>49</v>
      </c>
      <c r="C87" s="1" t="s">
        <v>52</v>
      </c>
      <c r="D87" s="80">
        <v>7</v>
      </c>
      <c r="E87" s="76" t="s">
        <v>44</v>
      </c>
      <c r="F87" s="77">
        <v>114</v>
      </c>
      <c r="G87" s="78">
        <v>115</v>
      </c>
      <c r="H87" s="80">
        <f t="shared" si="27"/>
        <v>114.5</v>
      </c>
      <c r="I87" s="79"/>
      <c r="J87" s="76">
        <v>270</v>
      </c>
      <c r="K87" s="81">
        <v>4</v>
      </c>
      <c r="L87" s="81">
        <v>68</v>
      </c>
      <c r="M87" s="81">
        <v>0</v>
      </c>
      <c r="N87" s="81"/>
      <c r="O87" s="74"/>
      <c r="P87" s="38">
        <f t="shared" si="28"/>
        <v>-0.064677076207065</v>
      </c>
      <c r="Q87" s="38">
        <f t="shared" si="29"/>
        <v>0.026131234997993285</v>
      </c>
      <c r="R87" s="38">
        <f t="shared" si="30"/>
        <v>0.37369407058201215</v>
      </c>
      <c r="S87" s="62">
        <f t="shared" si="31"/>
        <v>158</v>
      </c>
      <c r="T87" s="12">
        <f t="shared" si="32"/>
        <v>79.42643995100195</v>
      </c>
      <c r="U87" s="22">
        <f t="shared" si="33"/>
        <v>338</v>
      </c>
      <c r="V87" s="12">
        <f t="shared" si="34"/>
        <v>248</v>
      </c>
      <c r="W87" s="23">
        <f t="shared" si="35"/>
        <v>10.573560048998047</v>
      </c>
      <c r="X87" s="65"/>
      <c r="Y87" s="66"/>
      <c r="Z87" s="27"/>
      <c r="AA87" s="72"/>
      <c r="AB87" s="73"/>
      <c r="AC87" s="83">
        <v>293.7</v>
      </c>
      <c r="AD87" s="84">
        <v>61.4</v>
      </c>
      <c r="AE87" s="22">
        <f t="shared" si="36"/>
        <v>44.30000000000001</v>
      </c>
      <c r="AF87" s="12">
        <f t="shared" si="37"/>
        <v>314.3</v>
      </c>
      <c r="AG87" s="12">
        <f t="shared" si="38"/>
        <v>10.573560048998047</v>
      </c>
      <c r="AH87" s="48"/>
      <c r="AI87" s="27"/>
    </row>
    <row r="88" spans="1:39" ht="12.75" customHeight="1">
      <c r="A88" s="89">
        <f>H88/100+54.198</f>
        <v>54.663000000000004</v>
      </c>
      <c r="B88" s="90" t="s">
        <v>49</v>
      </c>
      <c r="C88" s="1" t="s">
        <v>52</v>
      </c>
      <c r="D88" s="80">
        <v>8</v>
      </c>
      <c r="E88" s="2" t="s">
        <v>148</v>
      </c>
      <c r="F88" s="77">
        <v>43</v>
      </c>
      <c r="G88" s="78">
        <v>50</v>
      </c>
      <c r="H88" s="80">
        <f t="shared" si="27"/>
        <v>46.5</v>
      </c>
      <c r="I88" s="79"/>
      <c r="J88" s="76"/>
      <c r="K88" s="81"/>
      <c r="L88" s="81"/>
      <c r="M88" s="81"/>
      <c r="N88" s="81"/>
      <c r="O88" s="74"/>
      <c r="P88" s="38"/>
      <c r="Q88" s="38"/>
      <c r="R88" s="38"/>
      <c r="S88" s="62"/>
      <c r="T88" s="12"/>
      <c r="U88" s="22"/>
      <c r="V88" s="12"/>
      <c r="W88" s="23"/>
      <c r="X88" s="65"/>
      <c r="Y88" s="66"/>
      <c r="Z88" s="27"/>
      <c r="AA88" s="72"/>
      <c r="AB88" s="73"/>
      <c r="AC88" s="83"/>
      <c r="AD88" s="84"/>
      <c r="AE88" s="22"/>
      <c r="AF88" s="12"/>
      <c r="AG88" s="12"/>
      <c r="AH88" s="48"/>
      <c r="AI88" s="27"/>
      <c r="AL88" s="54"/>
      <c r="AM88" s="54"/>
    </row>
    <row r="89" spans="1:39" ht="12.75" customHeight="1">
      <c r="A89" s="89">
        <f>H89/100+54.198</f>
        <v>54.828</v>
      </c>
      <c r="B89" s="90" t="s">
        <v>49</v>
      </c>
      <c r="C89" s="1" t="s">
        <v>52</v>
      </c>
      <c r="D89" s="80">
        <v>8</v>
      </c>
      <c r="E89" s="2" t="s">
        <v>148</v>
      </c>
      <c r="F89" s="77">
        <v>61</v>
      </c>
      <c r="G89" s="78">
        <v>65</v>
      </c>
      <c r="H89" s="80">
        <f t="shared" si="27"/>
        <v>63</v>
      </c>
      <c r="I89" s="79"/>
      <c r="J89" s="76"/>
      <c r="K89" s="81"/>
      <c r="L89" s="81"/>
      <c r="M89" s="81"/>
      <c r="N89" s="81"/>
      <c r="O89" s="61"/>
      <c r="P89" s="38"/>
      <c r="Q89" s="38"/>
      <c r="R89" s="38"/>
      <c r="S89" s="62"/>
      <c r="T89" s="12"/>
      <c r="U89" s="22"/>
      <c r="V89" s="12"/>
      <c r="W89" s="23"/>
      <c r="X89" s="65"/>
      <c r="Y89" s="66"/>
      <c r="Z89" s="27"/>
      <c r="AA89" s="2"/>
      <c r="AB89" s="1"/>
      <c r="AC89" s="83"/>
      <c r="AD89" s="84"/>
      <c r="AE89" s="22"/>
      <c r="AF89" s="12"/>
      <c r="AG89" s="12"/>
      <c r="AH89" s="48"/>
      <c r="AI89" s="27"/>
      <c r="AL89" s="54"/>
      <c r="AM89" s="54"/>
    </row>
    <row r="90" spans="1:39" ht="12.75" customHeight="1">
      <c r="A90" s="89">
        <f>H90/100+55.5</f>
        <v>56.15</v>
      </c>
      <c r="B90" s="90" t="s">
        <v>49</v>
      </c>
      <c r="C90" s="80" t="s">
        <v>53</v>
      </c>
      <c r="D90" s="80">
        <v>1</v>
      </c>
      <c r="E90" s="2" t="s">
        <v>148</v>
      </c>
      <c r="F90" s="77">
        <v>55</v>
      </c>
      <c r="G90" s="78">
        <v>75</v>
      </c>
      <c r="H90" s="1">
        <f t="shared" si="27"/>
        <v>65</v>
      </c>
      <c r="I90" s="79"/>
      <c r="J90" s="55">
        <v>270</v>
      </c>
      <c r="K90" s="60">
        <v>50</v>
      </c>
      <c r="L90" s="60">
        <v>346</v>
      </c>
      <c r="M90" s="60">
        <v>0</v>
      </c>
      <c r="N90" s="60"/>
      <c r="O90" s="61"/>
      <c r="P90" s="38">
        <f aca="true" t="shared" si="39" ref="P90:P121">COS(K90*PI()/180)*SIN(J90*PI()/180)*(SIN((M90)*PI()/180))-(COS((M90)*PI()/180)*SIN(L90*PI()/180))*(SIN(K90*PI()/180))</f>
        <v>0.1853229237929351</v>
      </c>
      <c r="Q90" s="38">
        <f aca="true" t="shared" si="40" ref="Q90:Q121">(SIN(K90*PI()/180))*(COS((M90)*PI()/180)*COS(L90*PI()/180))-(SIN((M90)*PI()/180))*(COS(K90*PI()/180)*COS(J90*PI()/180))</f>
        <v>0.7432896492958201</v>
      </c>
      <c r="R90" s="38">
        <f aca="true" t="shared" si="41" ref="R90:R121">(COS(K90*PI()/180)*COS(J90*PI()/180))*(COS((M90)*PI()/180)*SIN(L90*PI()/180))-(COS(K90*PI()/180)*SIN(J90*PI()/180))*(COS((M90)*PI()/180)*COS(L90*PI()/180))</f>
        <v>0.6236940705820124</v>
      </c>
      <c r="S90" s="62">
        <f aca="true" t="shared" si="42" ref="S90:S121">IF(P90=0,IF(Q90&gt;=0,90,270),IF(P90&gt;0,IF(Q90&gt;=0,ATAN(Q90/P90)*180/PI(),ATAN(Q90/P90)*180/PI()+360),ATAN(Q90/P90)*180/PI()+180))</f>
        <v>76</v>
      </c>
      <c r="T90" s="12">
        <f aca="true" t="shared" si="43" ref="T90:T121">ASIN(R90/SQRT(P90^2+Q90^2+R90^2))*180/PI()</f>
        <v>39.15161221588306</v>
      </c>
      <c r="U90" s="22">
        <f aca="true" t="shared" si="44" ref="U90:U121">IF(R90&lt;0,S90,IF(S90+180&gt;=360,S90-180,S90+180))</f>
        <v>256</v>
      </c>
      <c r="V90" s="12">
        <f aca="true" t="shared" si="45" ref="V90:V121">IF(U90-90&lt;0,U90+270,U90-90)</f>
        <v>166</v>
      </c>
      <c r="W90" s="23">
        <f aca="true" t="shared" si="46" ref="W90:W121">IF(R90&lt;0,90+T90,90-T90)</f>
        <v>50.84838778411694</v>
      </c>
      <c r="X90" s="65"/>
      <c r="Y90" s="66"/>
      <c r="Z90" s="27"/>
      <c r="AA90" s="2"/>
      <c r="AB90" s="1"/>
      <c r="AC90" s="83">
        <v>306.6</v>
      </c>
      <c r="AD90" s="84">
        <v>58.9</v>
      </c>
      <c r="AE90" s="22">
        <f aca="true" t="shared" si="47" ref="AE90:AE121">IF(AD90&gt;=0,IF(U90&gt;=AC90,U90-AC90,U90-AC90+360),IF((U90-AC90-180)&lt;0,IF(U90-AC90+180&lt;0,U90-AC90+540,U90-AC90+180),U90-AC90-180))</f>
        <v>309.4</v>
      </c>
      <c r="AF90" s="12">
        <f aca="true" t="shared" si="48" ref="AF90:AF121">IF(AE90-90&lt;0,AE90+270,AE90-90)</f>
        <v>219.39999999999998</v>
      </c>
      <c r="AG90" s="12">
        <f aca="true" t="shared" si="49" ref="AG90:AG121">W90</f>
        <v>50.84838778411694</v>
      </c>
      <c r="AH90" s="48"/>
      <c r="AI90" s="27"/>
      <c r="AL90" s="54"/>
      <c r="AM90" s="54"/>
    </row>
    <row r="91" spans="1:39" ht="12.75" customHeight="1">
      <c r="A91" s="89">
        <f>H91/100+55.5</f>
        <v>56.38</v>
      </c>
      <c r="B91" s="90" t="s">
        <v>49</v>
      </c>
      <c r="C91" s="80" t="s">
        <v>53</v>
      </c>
      <c r="D91" s="80">
        <v>1</v>
      </c>
      <c r="E91" s="76" t="s">
        <v>50</v>
      </c>
      <c r="F91" s="77">
        <v>85</v>
      </c>
      <c r="G91" s="78">
        <v>91</v>
      </c>
      <c r="H91" s="1">
        <f t="shared" si="27"/>
        <v>88</v>
      </c>
      <c r="I91" s="79"/>
      <c r="J91" s="55">
        <v>270</v>
      </c>
      <c r="K91" s="60">
        <v>50</v>
      </c>
      <c r="L91" s="60">
        <v>338</v>
      </c>
      <c r="M91" s="60">
        <v>0</v>
      </c>
      <c r="N91" s="60"/>
      <c r="O91" s="61"/>
      <c r="P91" s="38">
        <f t="shared" si="39"/>
        <v>0.28696529924199</v>
      </c>
      <c r="Q91" s="38">
        <f t="shared" si="40"/>
        <v>0.7102640395405221</v>
      </c>
      <c r="R91" s="38">
        <f t="shared" si="41"/>
        <v>0.5959822936169371</v>
      </c>
      <c r="S91" s="62">
        <f t="shared" si="42"/>
        <v>67.99999999999997</v>
      </c>
      <c r="T91" s="12">
        <f t="shared" si="43"/>
        <v>37.882902866823905</v>
      </c>
      <c r="U91" s="22">
        <f t="shared" si="44"/>
        <v>247.99999999999997</v>
      </c>
      <c r="V91" s="12">
        <f t="shared" si="45"/>
        <v>157.99999999999997</v>
      </c>
      <c r="W91" s="23">
        <f t="shared" si="46"/>
        <v>52.117097133176095</v>
      </c>
      <c r="X91" s="65"/>
      <c r="Y91" s="66"/>
      <c r="Z91" s="27"/>
      <c r="AA91" s="2"/>
      <c r="AB91" s="1"/>
      <c r="AC91" s="83">
        <v>306.6</v>
      </c>
      <c r="AD91" s="84">
        <v>58.9</v>
      </c>
      <c r="AE91" s="22">
        <f t="shared" si="47"/>
        <v>301.4</v>
      </c>
      <c r="AF91" s="12">
        <f t="shared" si="48"/>
        <v>211.39999999999998</v>
      </c>
      <c r="AG91" s="12">
        <f t="shared" si="49"/>
        <v>52.117097133176095</v>
      </c>
      <c r="AH91" s="48"/>
      <c r="AI91" s="27"/>
      <c r="AM91" s="54"/>
    </row>
    <row r="92" spans="1:39" ht="12.75" customHeight="1">
      <c r="A92" s="89">
        <f>H92/100+55.5</f>
        <v>56.54</v>
      </c>
      <c r="B92" s="90" t="s">
        <v>49</v>
      </c>
      <c r="C92" s="80" t="s">
        <v>53</v>
      </c>
      <c r="D92" s="80">
        <v>1</v>
      </c>
      <c r="E92" s="76" t="s">
        <v>50</v>
      </c>
      <c r="F92" s="77">
        <v>101</v>
      </c>
      <c r="G92" s="78">
        <v>107</v>
      </c>
      <c r="H92" s="1">
        <f t="shared" si="27"/>
        <v>104</v>
      </c>
      <c r="I92" s="79"/>
      <c r="J92" s="55">
        <v>270</v>
      </c>
      <c r="K92" s="60">
        <v>50</v>
      </c>
      <c r="L92" s="60">
        <v>328</v>
      </c>
      <c r="M92" s="60">
        <v>0</v>
      </c>
      <c r="N92" s="60"/>
      <c r="O92" s="61"/>
      <c r="P92" s="38">
        <f t="shared" si="39"/>
        <v>0.40594170766754467</v>
      </c>
      <c r="Q92" s="38">
        <f t="shared" si="40"/>
        <v>0.6496425315582585</v>
      </c>
      <c r="R92" s="38">
        <f t="shared" si="41"/>
        <v>0.5451148086276093</v>
      </c>
      <c r="S92" s="62">
        <f t="shared" si="42"/>
        <v>57.999999999999936</v>
      </c>
      <c r="T92" s="12">
        <f t="shared" si="43"/>
        <v>35.435534713809346</v>
      </c>
      <c r="U92" s="22">
        <f t="shared" si="44"/>
        <v>237.99999999999994</v>
      </c>
      <c r="V92" s="12">
        <f t="shared" si="45"/>
        <v>147.99999999999994</v>
      </c>
      <c r="W92" s="23">
        <f t="shared" si="46"/>
        <v>54.564465286190654</v>
      </c>
      <c r="X92" s="65"/>
      <c r="Y92" s="66"/>
      <c r="Z92" s="27"/>
      <c r="AA92" s="2"/>
      <c r="AB92" s="1"/>
      <c r="AC92" s="83">
        <v>306.6</v>
      </c>
      <c r="AD92" s="84">
        <v>58.9</v>
      </c>
      <c r="AE92" s="22">
        <f t="shared" si="47"/>
        <v>291.3999999999999</v>
      </c>
      <c r="AF92" s="12">
        <f t="shared" si="48"/>
        <v>201.39999999999992</v>
      </c>
      <c r="AG92" s="12">
        <f t="shared" si="49"/>
        <v>54.564465286190654</v>
      </c>
      <c r="AH92" s="48"/>
      <c r="AI92" s="27"/>
      <c r="AM92" s="54"/>
    </row>
    <row r="93" spans="1:39" ht="12.75" customHeight="1">
      <c r="A93" s="89">
        <f>H93/100+55.5</f>
        <v>56.8075</v>
      </c>
      <c r="B93" s="90" t="s">
        <v>49</v>
      </c>
      <c r="C93" s="80" t="s">
        <v>53</v>
      </c>
      <c r="D93" s="80">
        <v>1</v>
      </c>
      <c r="E93" s="76" t="s">
        <v>50</v>
      </c>
      <c r="F93" s="77">
        <v>127.5</v>
      </c>
      <c r="G93" s="78">
        <v>134</v>
      </c>
      <c r="H93" s="1">
        <f t="shared" si="27"/>
        <v>130.75</v>
      </c>
      <c r="I93" s="79"/>
      <c r="J93" s="55">
        <v>270</v>
      </c>
      <c r="K93" s="60">
        <v>52</v>
      </c>
      <c r="L93" s="60">
        <v>320</v>
      </c>
      <c r="M93" s="60">
        <v>0</v>
      </c>
      <c r="N93" s="60"/>
      <c r="O93" s="61"/>
      <c r="P93" s="38">
        <f t="shared" si="39"/>
        <v>0.5065235487181535</v>
      </c>
      <c r="Q93" s="38">
        <f t="shared" si="40"/>
        <v>0.6036512589184274</v>
      </c>
      <c r="R93" s="38">
        <f t="shared" si="41"/>
        <v>0.4716240520156523</v>
      </c>
      <c r="S93" s="62">
        <f t="shared" si="42"/>
        <v>49.999999999999986</v>
      </c>
      <c r="T93" s="12">
        <f t="shared" si="43"/>
        <v>30.90050027826784</v>
      </c>
      <c r="U93" s="22">
        <f t="shared" si="44"/>
        <v>230</v>
      </c>
      <c r="V93" s="12">
        <f t="shared" si="45"/>
        <v>140</v>
      </c>
      <c r="W93" s="23">
        <f t="shared" si="46"/>
        <v>59.09949972173216</v>
      </c>
      <c r="X93" s="65"/>
      <c r="Y93" s="66"/>
      <c r="Z93" s="27"/>
      <c r="AA93" s="2"/>
      <c r="AB93" s="1"/>
      <c r="AC93" s="83">
        <v>306.6</v>
      </c>
      <c r="AD93" s="84">
        <v>58.9</v>
      </c>
      <c r="AE93" s="22">
        <f t="shared" si="47"/>
        <v>283.4</v>
      </c>
      <c r="AF93" s="12">
        <f t="shared" si="48"/>
        <v>193.39999999999998</v>
      </c>
      <c r="AG93" s="12">
        <f t="shared" si="49"/>
        <v>59.09949972173216</v>
      </c>
      <c r="AH93" s="48"/>
      <c r="AI93" s="27"/>
      <c r="AM93" s="54"/>
    </row>
    <row r="94" spans="1:39" ht="12" customHeight="1">
      <c r="A94" s="89">
        <f aca="true" t="shared" si="50" ref="A94:A100">H94/100+56.843</f>
        <v>57.11300000000001</v>
      </c>
      <c r="B94" s="90" t="s">
        <v>49</v>
      </c>
      <c r="C94" s="80" t="s">
        <v>53</v>
      </c>
      <c r="D94" s="80">
        <v>2</v>
      </c>
      <c r="E94" s="76" t="s">
        <v>50</v>
      </c>
      <c r="F94" s="77">
        <v>24</v>
      </c>
      <c r="G94" s="78">
        <v>30</v>
      </c>
      <c r="H94" s="1">
        <f t="shared" si="27"/>
        <v>27</v>
      </c>
      <c r="I94" s="79"/>
      <c r="J94" s="55">
        <v>270</v>
      </c>
      <c r="K94" s="60">
        <v>47</v>
      </c>
      <c r="L94" s="60">
        <v>311</v>
      </c>
      <c r="M94" s="60">
        <v>0</v>
      </c>
      <c r="N94" s="60"/>
      <c r="O94" s="61"/>
      <c r="P94" s="38">
        <f t="shared" si="39"/>
        <v>0.5519596451433748</v>
      </c>
      <c r="Q94" s="38">
        <f t="shared" si="40"/>
        <v>0.479811199332886</v>
      </c>
      <c r="R94" s="38">
        <f t="shared" si="41"/>
        <v>0.44743118187572106</v>
      </c>
      <c r="S94" s="62">
        <f t="shared" si="42"/>
        <v>40.99999999999998</v>
      </c>
      <c r="T94" s="12">
        <f t="shared" si="43"/>
        <v>31.45766703563274</v>
      </c>
      <c r="U94" s="22">
        <f t="shared" si="44"/>
        <v>220.99999999999997</v>
      </c>
      <c r="V94" s="12">
        <f t="shared" si="45"/>
        <v>130.99999999999997</v>
      </c>
      <c r="W94" s="23">
        <f t="shared" si="46"/>
        <v>58.54233296436726</v>
      </c>
      <c r="X94" s="65"/>
      <c r="Y94" s="66"/>
      <c r="Z94" s="71" t="s">
        <v>142</v>
      </c>
      <c r="AA94" s="2"/>
      <c r="AB94" s="1"/>
      <c r="AC94" s="83">
        <v>306.6</v>
      </c>
      <c r="AD94" s="84">
        <v>58.9</v>
      </c>
      <c r="AE94" s="22">
        <f t="shared" si="47"/>
        <v>274.4</v>
      </c>
      <c r="AF94" s="12">
        <f t="shared" si="48"/>
        <v>184.39999999999998</v>
      </c>
      <c r="AG94" s="12">
        <f t="shared" si="49"/>
        <v>58.54233296436726</v>
      </c>
      <c r="AH94" s="48"/>
      <c r="AI94" s="27" t="str">
        <f>Z94</f>
        <v>N</v>
      </c>
      <c r="AJ94" t="s">
        <v>58</v>
      </c>
      <c r="AM94" s="54"/>
    </row>
    <row r="95" spans="1:39" ht="12.75" customHeight="1">
      <c r="A95" s="89">
        <f t="shared" si="50"/>
        <v>57.258</v>
      </c>
      <c r="B95" s="90" t="s">
        <v>49</v>
      </c>
      <c r="C95" s="80" t="s">
        <v>53</v>
      </c>
      <c r="D95" s="80">
        <v>2</v>
      </c>
      <c r="E95" s="76" t="s">
        <v>50</v>
      </c>
      <c r="F95" s="77">
        <v>38</v>
      </c>
      <c r="G95" s="78">
        <v>45</v>
      </c>
      <c r="H95" s="1">
        <f t="shared" si="27"/>
        <v>41.5</v>
      </c>
      <c r="I95" s="79"/>
      <c r="J95" s="55">
        <v>270</v>
      </c>
      <c r="K95" s="60">
        <v>45</v>
      </c>
      <c r="L95" s="60">
        <v>319</v>
      </c>
      <c r="M95" s="60">
        <v>0</v>
      </c>
      <c r="N95" s="60"/>
      <c r="O95" s="61"/>
      <c r="P95" s="38">
        <f t="shared" si="39"/>
        <v>0.4639037882578495</v>
      </c>
      <c r="Q95" s="38">
        <f t="shared" si="40"/>
        <v>0.5336602620019747</v>
      </c>
      <c r="R95" s="38">
        <f t="shared" si="41"/>
        <v>0.5336602620019748</v>
      </c>
      <c r="S95" s="62">
        <f t="shared" si="42"/>
        <v>49</v>
      </c>
      <c r="T95" s="12">
        <f t="shared" si="43"/>
        <v>37.04220461317449</v>
      </c>
      <c r="U95" s="22">
        <f t="shared" si="44"/>
        <v>229</v>
      </c>
      <c r="V95" s="12">
        <f t="shared" si="45"/>
        <v>139</v>
      </c>
      <c r="W95" s="23">
        <f t="shared" si="46"/>
        <v>52.95779538682551</v>
      </c>
      <c r="X95" s="65"/>
      <c r="Y95" s="66"/>
      <c r="Z95" s="27"/>
      <c r="AA95" s="2"/>
      <c r="AB95" s="1"/>
      <c r="AC95" s="83">
        <v>306.6</v>
      </c>
      <c r="AD95" s="84">
        <v>58.9</v>
      </c>
      <c r="AE95" s="22">
        <f t="shared" si="47"/>
        <v>282.4</v>
      </c>
      <c r="AF95" s="12">
        <f t="shared" si="48"/>
        <v>192.39999999999998</v>
      </c>
      <c r="AG95" s="12">
        <f t="shared" si="49"/>
        <v>52.95779538682551</v>
      </c>
      <c r="AH95" s="48"/>
      <c r="AI95" s="27"/>
      <c r="AM95" s="54"/>
    </row>
    <row r="96" spans="1:39" ht="12.75" customHeight="1">
      <c r="A96" s="89">
        <f t="shared" si="50"/>
        <v>57.323</v>
      </c>
      <c r="B96" s="90" t="s">
        <v>49</v>
      </c>
      <c r="C96" s="80" t="s">
        <v>53</v>
      </c>
      <c r="D96" s="80">
        <v>2</v>
      </c>
      <c r="E96" s="76" t="s">
        <v>50</v>
      </c>
      <c r="F96" s="77">
        <v>46</v>
      </c>
      <c r="G96" s="78">
        <v>50</v>
      </c>
      <c r="H96" s="1">
        <f t="shared" si="27"/>
        <v>48</v>
      </c>
      <c r="I96" s="79"/>
      <c r="J96" s="55">
        <v>90</v>
      </c>
      <c r="K96" s="60">
        <v>28</v>
      </c>
      <c r="L96" s="60">
        <v>57</v>
      </c>
      <c r="M96" s="60">
        <v>0</v>
      </c>
      <c r="N96" s="60"/>
      <c r="O96" s="61"/>
      <c r="P96" s="38">
        <f t="shared" si="39"/>
        <v>-0.3937319821958688</v>
      </c>
      <c r="Q96" s="38">
        <f t="shared" si="40"/>
        <v>0.2556925389227043</v>
      </c>
      <c r="R96" s="38">
        <f t="shared" si="41"/>
        <v>-0.48088772494352705</v>
      </c>
      <c r="S96" s="62">
        <f t="shared" si="42"/>
        <v>147</v>
      </c>
      <c r="T96" s="12">
        <f t="shared" si="43"/>
        <v>-45.68823071342947</v>
      </c>
      <c r="U96" s="22">
        <f t="shared" si="44"/>
        <v>147</v>
      </c>
      <c r="V96" s="12">
        <f t="shared" si="45"/>
        <v>57</v>
      </c>
      <c r="W96" s="23">
        <f t="shared" si="46"/>
        <v>44.31176928657053</v>
      </c>
      <c r="X96" s="65"/>
      <c r="Y96" s="66"/>
      <c r="Z96" s="27"/>
      <c r="AA96" s="2"/>
      <c r="AB96" s="1"/>
      <c r="AC96" s="83">
        <v>306.6</v>
      </c>
      <c r="AD96" s="84">
        <v>58.9</v>
      </c>
      <c r="AE96" s="22">
        <f t="shared" si="47"/>
        <v>200.39999999999998</v>
      </c>
      <c r="AF96" s="12">
        <f t="shared" si="48"/>
        <v>110.39999999999998</v>
      </c>
      <c r="AG96" s="12">
        <f t="shared" si="49"/>
        <v>44.31176928657053</v>
      </c>
      <c r="AH96" s="48"/>
      <c r="AI96" s="27"/>
      <c r="AM96" s="54"/>
    </row>
    <row r="97" spans="1:39" ht="12.75" customHeight="1">
      <c r="A97" s="89">
        <f t="shared" si="50"/>
        <v>57.410500000000006</v>
      </c>
      <c r="B97" s="90" t="s">
        <v>49</v>
      </c>
      <c r="C97" s="80" t="s">
        <v>53</v>
      </c>
      <c r="D97" s="80">
        <v>2</v>
      </c>
      <c r="E97" s="76" t="s">
        <v>50</v>
      </c>
      <c r="F97" s="77">
        <v>54.5</v>
      </c>
      <c r="G97" s="78">
        <v>59</v>
      </c>
      <c r="H97" s="1">
        <f t="shared" si="27"/>
        <v>56.75</v>
      </c>
      <c r="I97" s="79"/>
      <c r="J97" s="55">
        <v>270</v>
      </c>
      <c r="K97" s="60">
        <v>44</v>
      </c>
      <c r="L97" s="60">
        <v>180</v>
      </c>
      <c r="M97" s="60">
        <v>38</v>
      </c>
      <c r="N97" s="60"/>
      <c r="O97" s="61"/>
      <c r="P97" s="38">
        <f t="shared" si="39"/>
        <v>-0.4428698027369584</v>
      </c>
      <c r="Q97" s="38">
        <f t="shared" si="40"/>
        <v>-0.5473982660046118</v>
      </c>
      <c r="R97" s="38">
        <f t="shared" si="41"/>
        <v>-0.5668474981641695</v>
      </c>
      <c r="S97" s="62">
        <f t="shared" si="42"/>
        <v>231.02558457134518</v>
      </c>
      <c r="T97" s="12">
        <f t="shared" si="43"/>
        <v>-38.835772606153995</v>
      </c>
      <c r="U97" s="22">
        <f t="shared" si="44"/>
        <v>231.02558457134518</v>
      </c>
      <c r="V97" s="12">
        <f t="shared" si="45"/>
        <v>141.02558457134518</v>
      </c>
      <c r="W97" s="23">
        <f t="shared" si="46"/>
        <v>51.164227393846005</v>
      </c>
      <c r="X97" s="65"/>
      <c r="Y97" s="66"/>
      <c r="Z97" s="27"/>
      <c r="AA97" s="2"/>
      <c r="AB97" s="1"/>
      <c r="AC97" s="83">
        <v>306.6</v>
      </c>
      <c r="AD97" s="84">
        <v>58.9</v>
      </c>
      <c r="AE97" s="22">
        <f t="shared" si="47"/>
        <v>284.42558457134515</v>
      </c>
      <c r="AF97" s="12">
        <f t="shared" si="48"/>
        <v>194.42558457134515</v>
      </c>
      <c r="AG97" s="12">
        <f t="shared" si="49"/>
        <v>51.164227393846005</v>
      </c>
      <c r="AH97" s="48"/>
      <c r="AI97" s="27"/>
      <c r="AM97" s="54"/>
    </row>
    <row r="98" spans="1:35" ht="12.75" customHeight="1">
      <c r="A98" s="89">
        <f t="shared" si="50"/>
        <v>57.663000000000004</v>
      </c>
      <c r="B98" s="90" t="s">
        <v>49</v>
      </c>
      <c r="C98" s="80" t="s">
        <v>53</v>
      </c>
      <c r="D98" s="80">
        <v>2</v>
      </c>
      <c r="E98" s="76" t="s">
        <v>44</v>
      </c>
      <c r="F98" s="77">
        <v>82</v>
      </c>
      <c r="G98" s="78">
        <v>82</v>
      </c>
      <c r="H98" s="1">
        <f t="shared" si="27"/>
        <v>82</v>
      </c>
      <c r="I98" s="79"/>
      <c r="J98" s="55">
        <v>90</v>
      </c>
      <c r="K98" s="60">
        <v>0</v>
      </c>
      <c r="L98" s="60">
        <v>0</v>
      </c>
      <c r="M98" s="60">
        <v>0</v>
      </c>
      <c r="N98" s="60"/>
      <c r="O98" s="61"/>
      <c r="P98" s="38">
        <f t="shared" si="39"/>
        <v>0</v>
      </c>
      <c r="Q98" s="38">
        <f t="shared" si="40"/>
        <v>0</v>
      </c>
      <c r="R98" s="38">
        <f t="shared" si="41"/>
        <v>-1</v>
      </c>
      <c r="S98" s="62">
        <f t="shared" si="42"/>
        <v>90</v>
      </c>
      <c r="T98" s="12">
        <f t="shared" si="43"/>
        <v>-90</v>
      </c>
      <c r="U98" s="22">
        <f t="shared" si="44"/>
        <v>90</v>
      </c>
      <c r="V98" s="12">
        <f t="shared" si="45"/>
        <v>0</v>
      </c>
      <c r="W98" s="23">
        <f t="shared" si="46"/>
        <v>0</v>
      </c>
      <c r="X98" s="65"/>
      <c r="Y98" s="66"/>
      <c r="Z98" s="27"/>
      <c r="AA98" s="2"/>
      <c r="AB98" s="11"/>
      <c r="AC98" s="83">
        <v>306.6</v>
      </c>
      <c r="AD98" s="84">
        <v>58.9</v>
      </c>
      <c r="AE98" s="22">
        <f t="shared" si="47"/>
        <v>143.39999999999998</v>
      </c>
      <c r="AF98" s="12">
        <f t="shared" si="48"/>
        <v>53.39999999999998</v>
      </c>
      <c r="AG98" s="12">
        <f t="shared" si="49"/>
        <v>0</v>
      </c>
      <c r="AH98" s="48"/>
      <c r="AI98" s="27"/>
    </row>
    <row r="99" spans="1:39" ht="12.75" customHeight="1">
      <c r="A99" s="89">
        <f t="shared" si="50"/>
        <v>57.773</v>
      </c>
      <c r="B99" s="90" t="s">
        <v>49</v>
      </c>
      <c r="C99" s="80" t="s">
        <v>53</v>
      </c>
      <c r="D99" s="80">
        <v>2</v>
      </c>
      <c r="E99" s="76" t="s">
        <v>50</v>
      </c>
      <c r="F99" s="77">
        <v>90.5</v>
      </c>
      <c r="G99" s="78">
        <v>95.5</v>
      </c>
      <c r="H99" s="1">
        <f t="shared" si="27"/>
        <v>93</v>
      </c>
      <c r="I99" s="79"/>
      <c r="J99" s="55">
        <v>270</v>
      </c>
      <c r="K99" s="60">
        <v>36</v>
      </c>
      <c r="L99" s="60">
        <v>324</v>
      </c>
      <c r="M99" s="60">
        <v>0</v>
      </c>
      <c r="N99" s="60"/>
      <c r="O99" s="61"/>
      <c r="P99" s="38">
        <f t="shared" si="39"/>
        <v>0.34549150281252644</v>
      </c>
      <c r="Q99" s="38">
        <f t="shared" si="40"/>
        <v>0.47552825814757677</v>
      </c>
      <c r="R99" s="38">
        <f t="shared" si="41"/>
        <v>0.6545084971874737</v>
      </c>
      <c r="S99" s="62">
        <f t="shared" si="42"/>
        <v>53.999999999999986</v>
      </c>
      <c r="T99" s="12">
        <f t="shared" si="43"/>
        <v>48.07438607418091</v>
      </c>
      <c r="U99" s="22">
        <f t="shared" si="44"/>
        <v>234</v>
      </c>
      <c r="V99" s="12">
        <f t="shared" si="45"/>
        <v>144</v>
      </c>
      <c r="W99" s="23">
        <f t="shared" si="46"/>
        <v>41.92561392581909</v>
      </c>
      <c r="X99" s="65"/>
      <c r="Y99" s="66"/>
      <c r="Z99" s="27"/>
      <c r="AA99" s="2"/>
      <c r="AB99" s="11"/>
      <c r="AC99" s="83">
        <v>306.6</v>
      </c>
      <c r="AD99" s="84">
        <v>58.9</v>
      </c>
      <c r="AE99" s="22">
        <f t="shared" si="47"/>
        <v>287.4</v>
      </c>
      <c r="AF99" s="12">
        <f t="shared" si="48"/>
        <v>197.39999999999998</v>
      </c>
      <c r="AG99" s="12">
        <f t="shared" si="49"/>
        <v>41.92561392581909</v>
      </c>
      <c r="AH99" s="48"/>
      <c r="AI99" s="27"/>
      <c r="AM99" s="54"/>
    </row>
    <row r="100" spans="1:39" ht="12.75" customHeight="1">
      <c r="A100" s="89">
        <f t="shared" si="50"/>
        <v>57.898</v>
      </c>
      <c r="B100" s="90" t="s">
        <v>49</v>
      </c>
      <c r="C100" s="80" t="s">
        <v>53</v>
      </c>
      <c r="D100" s="80">
        <v>2</v>
      </c>
      <c r="E100" s="76" t="s">
        <v>50</v>
      </c>
      <c r="F100" s="77">
        <v>103</v>
      </c>
      <c r="G100" s="78">
        <v>108</v>
      </c>
      <c r="H100" s="1">
        <f t="shared" si="27"/>
        <v>105.5</v>
      </c>
      <c r="I100" s="79"/>
      <c r="J100" s="55">
        <v>270</v>
      </c>
      <c r="K100" s="60">
        <v>38</v>
      </c>
      <c r="L100" s="60">
        <v>317</v>
      </c>
      <c r="M100" s="60">
        <v>0</v>
      </c>
      <c r="N100" s="60"/>
      <c r="O100" s="61"/>
      <c r="P100" s="38">
        <f t="shared" si="39"/>
        <v>0.41988011652575713</v>
      </c>
      <c r="Q100" s="38">
        <f t="shared" si="40"/>
        <v>0.4502662989237398</v>
      </c>
      <c r="R100" s="38">
        <f t="shared" si="41"/>
        <v>0.5763145815659885</v>
      </c>
      <c r="S100" s="62">
        <f t="shared" si="42"/>
        <v>47.000000000000014</v>
      </c>
      <c r="T100" s="12">
        <f t="shared" si="43"/>
        <v>43.10936416560007</v>
      </c>
      <c r="U100" s="22">
        <f t="shared" si="44"/>
        <v>227</v>
      </c>
      <c r="V100" s="12">
        <f t="shared" si="45"/>
        <v>137</v>
      </c>
      <c r="W100" s="23">
        <f t="shared" si="46"/>
        <v>46.89063583439993</v>
      </c>
      <c r="X100" s="65"/>
      <c r="Y100" s="66"/>
      <c r="Z100" s="27"/>
      <c r="AA100" s="2"/>
      <c r="AB100" s="11"/>
      <c r="AC100" s="83">
        <v>306.6</v>
      </c>
      <c r="AD100" s="84">
        <v>58.9</v>
      </c>
      <c r="AE100" s="22">
        <f t="shared" si="47"/>
        <v>280.4</v>
      </c>
      <c r="AF100" s="12">
        <f t="shared" si="48"/>
        <v>190.39999999999998</v>
      </c>
      <c r="AG100" s="12">
        <f t="shared" si="49"/>
        <v>46.89063583439993</v>
      </c>
      <c r="AH100" s="48"/>
      <c r="AI100" s="27"/>
      <c r="AM100" s="54"/>
    </row>
    <row r="101" spans="1:39" ht="12.75" customHeight="1">
      <c r="A101" s="89">
        <f aca="true" t="shared" si="51" ref="A101:A110">H101/100+58.19</f>
        <v>58.434999999999995</v>
      </c>
      <c r="B101" s="90" t="s">
        <v>49</v>
      </c>
      <c r="C101" s="80" t="s">
        <v>53</v>
      </c>
      <c r="D101" s="80">
        <v>3</v>
      </c>
      <c r="E101" s="76" t="s">
        <v>50</v>
      </c>
      <c r="F101" s="77">
        <v>21</v>
      </c>
      <c r="G101" s="78">
        <v>28</v>
      </c>
      <c r="H101" s="1">
        <f t="shared" si="27"/>
        <v>24.5</v>
      </c>
      <c r="I101" s="79"/>
      <c r="J101" s="55">
        <v>270</v>
      </c>
      <c r="K101" s="60">
        <v>52</v>
      </c>
      <c r="L101" s="60">
        <v>342</v>
      </c>
      <c r="M101" s="60">
        <v>0</v>
      </c>
      <c r="N101" s="60"/>
      <c r="O101" s="61"/>
      <c r="P101" s="38">
        <f t="shared" si="39"/>
        <v>0.24350871461468665</v>
      </c>
      <c r="Q101" s="38">
        <f t="shared" si="40"/>
        <v>0.7494427621283276</v>
      </c>
      <c r="R101" s="38">
        <f t="shared" si="41"/>
        <v>0.5855288579403553</v>
      </c>
      <c r="S101" s="62">
        <f t="shared" si="42"/>
        <v>71.99999999999999</v>
      </c>
      <c r="T101" s="12">
        <f t="shared" si="43"/>
        <v>36.61407604876959</v>
      </c>
      <c r="U101" s="22">
        <f t="shared" si="44"/>
        <v>252</v>
      </c>
      <c r="V101" s="12">
        <f t="shared" si="45"/>
        <v>162</v>
      </c>
      <c r="W101" s="23">
        <f t="shared" si="46"/>
        <v>53.38592395123041</v>
      </c>
      <c r="X101" s="65"/>
      <c r="Y101" s="66"/>
      <c r="Z101" s="27"/>
      <c r="AA101" s="2"/>
      <c r="AB101" s="11"/>
      <c r="AC101" s="83">
        <v>306.6</v>
      </c>
      <c r="AD101" s="84">
        <v>58.9</v>
      </c>
      <c r="AE101" s="22">
        <f t="shared" si="47"/>
        <v>305.4</v>
      </c>
      <c r="AF101" s="12">
        <f t="shared" si="48"/>
        <v>215.39999999999998</v>
      </c>
      <c r="AG101" s="12">
        <f t="shared" si="49"/>
        <v>53.38592395123041</v>
      </c>
      <c r="AH101" s="48"/>
      <c r="AI101" s="27"/>
      <c r="AM101" s="54"/>
    </row>
    <row r="102" spans="1:39" ht="12.75" customHeight="1">
      <c r="A102" s="89">
        <f t="shared" si="51"/>
        <v>58.559999999999995</v>
      </c>
      <c r="B102" s="90" t="s">
        <v>49</v>
      </c>
      <c r="C102" s="80" t="s">
        <v>53</v>
      </c>
      <c r="D102" s="80">
        <v>3</v>
      </c>
      <c r="E102" s="76" t="s">
        <v>50</v>
      </c>
      <c r="F102" s="77">
        <v>33</v>
      </c>
      <c r="G102" s="78">
        <v>41</v>
      </c>
      <c r="H102" s="1">
        <f t="shared" si="27"/>
        <v>37</v>
      </c>
      <c r="I102" s="79"/>
      <c r="J102" s="55">
        <v>270</v>
      </c>
      <c r="K102" s="60">
        <v>57</v>
      </c>
      <c r="L102" s="60">
        <v>347</v>
      </c>
      <c r="M102" s="60">
        <v>0</v>
      </c>
      <c r="N102" s="60"/>
      <c r="O102" s="61"/>
      <c r="P102" s="38">
        <f t="shared" si="39"/>
        <v>0.18865982850649146</v>
      </c>
      <c r="Q102" s="38">
        <f t="shared" si="40"/>
        <v>0.8171754956224526</v>
      </c>
      <c r="R102" s="38">
        <f t="shared" si="41"/>
        <v>0.53067997183216</v>
      </c>
      <c r="S102" s="62">
        <f t="shared" si="42"/>
        <v>76.99999999999999</v>
      </c>
      <c r="T102" s="12">
        <f t="shared" si="43"/>
        <v>32.32412782490925</v>
      </c>
      <c r="U102" s="22">
        <f t="shared" si="44"/>
        <v>257</v>
      </c>
      <c r="V102" s="12">
        <f t="shared" si="45"/>
        <v>167</v>
      </c>
      <c r="W102" s="23">
        <f t="shared" si="46"/>
        <v>57.67587217509075</v>
      </c>
      <c r="X102" s="65"/>
      <c r="Y102" s="66"/>
      <c r="Z102" s="27"/>
      <c r="AA102" s="2"/>
      <c r="AB102" s="11"/>
      <c r="AC102" s="83">
        <v>306.6</v>
      </c>
      <c r="AD102" s="84">
        <v>58.9</v>
      </c>
      <c r="AE102" s="22">
        <f t="shared" si="47"/>
        <v>310.4</v>
      </c>
      <c r="AF102" s="12">
        <f t="shared" si="48"/>
        <v>220.39999999999998</v>
      </c>
      <c r="AG102" s="12">
        <f t="shared" si="49"/>
        <v>57.67587217509075</v>
      </c>
      <c r="AH102" s="48"/>
      <c r="AI102" s="27"/>
      <c r="AM102" s="54"/>
    </row>
    <row r="103" spans="1:39" ht="12.75" customHeight="1">
      <c r="A103" s="89">
        <f t="shared" si="51"/>
        <v>58.64</v>
      </c>
      <c r="B103" s="90" t="s">
        <v>49</v>
      </c>
      <c r="C103" s="80" t="s">
        <v>53</v>
      </c>
      <c r="D103" s="80">
        <v>3</v>
      </c>
      <c r="E103" s="76" t="s">
        <v>50</v>
      </c>
      <c r="F103" s="77">
        <v>41</v>
      </c>
      <c r="G103" s="78">
        <v>49</v>
      </c>
      <c r="H103" s="1">
        <f t="shared" si="27"/>
        <v>45</v>
      </c>
      <c r="I103" s="79"/>
      <c r="J103" s="55">
        <v>270</v>
      </c>
      <c r="K103" s="60">
        <v>53</v>
      </c>
      <c r="L103" s="60">
        <v>350</v>
      </c>
      <c r="M103" s="60">
        <v>0</v>
      </c>
      <c r="N103" s="60"/>
      <c r="O103" s="61"/>
      <c r="P103" s="38">
        <f t="shared" si="39"/>
        <v>0.13868160093981258</v>
      </c>
      <c r="Q103" s="38">
        <f t="shared" si="40"/>
        <v>0.7865024421254331</v>
      </c>
      <c r="R103" s="38">
        <f t="shared" si="41"/>
        <v>0.5926721006793586</v>
      </c>
      <c r="S103" s="62">
        <f t="shared" si="42"/>
        <v>79.99999999999994</v>
      </c>
      <c r="T103" s="12">
        <f t="shared" si="43"/>
        <v>36.579326921079165</v>
      </c>
      <c r="U103" s="22">
        <f t="shared" si="44"/>
        <v>259.99999999999994</v>
      </c>
      <c r="V103" s="12">
        <f t="shared" si="45"/>
        <v>169.99999999999994</v>
      </c>
      <c r="W103" s="23">
        <f t="shared" si="46"/>
        <v>53.420673078920835</v>
      </c>
      <c r="X103" s="65"/>
      <c r="Y103" s="66"/>
      <c r="Z103" s="27"/>
      <c r="AA103" s="2"/>
      <c r="AB103" s="11"/>
      <c r="AC103" s="83">
        <v>306.6</v>
      </c>
      <c r="AD103" s="84">
        <v>58.9</v>
      </c>
      <c r="AE103" s="22">
        <f t="shared" si="47"/>
        <v>313.3999999999999</v>
      </c>
      <c r="AF103" s="12">
        <f t="shared" si="48"/>
        <v>223.39999999999992</v>
      </c>
      <c r="AG103" s="12">
        <f t="shared" si="49"/>
        <v>53.420673078920835</v>
      </c>
      <c r="AH103" s="48"/>
      <c r="AI103" s="27"/>
      <c r="AM103" s="54"/>
    </row>
    <row r="104" spans="1:39" ht="12.75" customHeight="1">
      <c r="A104" s="89">
        <f t="shared" si="51"/>
        <v>58.769999999999996</v>
      </c>
      <c r="B104" s="90" t="s">
        <v>49</v>
      </c>
      <c r="C104" s="80" t="s">
        <v>53</v>
      </c>
      <c r="D104" s="80">
        <v>3</v>
      </c>
      <c r="E104" s="76" t="s">
        <v>50</v>
      </c>
      <c r="F104" s="77">
        <v>55</v>
      </c>
      <c r="G104" s="78">
        <v>61</v>
      </c>
      <c r="H104" s="1">
        <f t="shared" si="27"/>
        <v>58</v>
      </c>
      <c r="I104" s="79"/>
      <c r="J104" s="55">
        <v>270</v>
      </c>
      <c r="K104" s="60">
        <v>44</v>
      </c>
      <c r="L104" s="60">
        <v>355</v>
      </c>
      <c r="M104" s="60">
        <v>0</v>
      </c>
      <c r="N104" s="60"/>
      <c r="O104" s="61"/>
      <c r="P104" s="38">
        <f t="shared" si="39"/>
        <v>0.060543466233231896</v>
      </c>
      <c r="Q104" s="38">
        <f t="shared" si="40"/>
        <v>0.6920149856363047</v>
      </c>
      <c r="R104" s="38">
        <f t="shared" si="41"/>
        <v>0.7166024952237391</v>
      </c>
      <c r="S104" s="62">
        <f t="shared" si="42"/>
        <v>85</v>
      </c>
      <c r="T104" s="12">
        <f t="shared" si="43"/>
        <v>45.89083772431681</v>
      </c>
      <c r="U104" s="22">
        <f t="shared" si="44"/>
        <v>265</v>
      </c>
      <c r="V104" s="12">
        <f t="shared" si="45"/>
        <v>175</v>
      </c>
      <c r="W104" s="23">
        <f t="shared" si="46"/>
        <v>44.10916227568319</v>
      </c>
      <c r="X104" s="65"/>
      <c r="Y104" s="66"/>
      <c r="Z104" s="27"/>
      <c r="AA104" s="2"/>
      <c r="AB104" s="1"/>
      <c r="AC104" s="83">
        <v>306.6</v>
      </c>
      <c r="AD104" s="84">
        <v>58.9</v>
      </c>
      <c r="AE104" s="22">
        <f t="shared" si="47"/>
        <v>318.4</v>
      </c>
      <c r="AF104" s="12">
        <f t="shared" si="48"/>
        <v>228.39999999999998</v>
      </c>
      <c r="AG104" s="12">
        <f t="shared" si="49"/>
        <v>44.10916227568319</v>
      </c>
      <c r="AH104" s="48"/>
      <c r="AI104" s="27"/>
      <c r="AM104" s="54"/>
    </row>
    <row r="105" spans="1:39" ht="12.75" customHeight="1">
      <c r="A105" s="89">
        <f t="shared" si="51"/>
        <v>58.91</v>
      </c>
      <c r="B105" s="90" t="s">
        <v>49</v>
      </c>
      <c r="C105" s="80" t="s">
        <v>53</v>
      </c>
      <c r="D105" s="80">
        <v>3</v>
      </c>
      <c r="E105" s="76" t="s">
        <v>50</v>
      </c>
      <c r="F105" s="77">
        <v>69</v>
      </c>
      <c r="G105" s="78">
        <v>75</v>
      </c>
      <c r="H105" s="1">
        <f t="shared" si="27"/>
        <v>72</v>
      </c>
      <c r="I105" s="79"/>
      <c r="J105" s="55">
        <v>270</v>
      </c>
      <c r="K105" s="60">
        <v>46</v>
      </c>
      <c r="L105" s="60">
        <v>346</v>
      </c>
      <c r="M105" s="60">
        <v>0</v>
      </c>
      <c r="N105" s="60"/>
      <c r="O105" s="61"/>
      <c r="P105" s="38">
        <f t="shared" si="39"/>
        <v>0.1740240480782131</v>
      </c>
      <c r="Q105" s="38">
        <f t="shared" si="40"/>
        <v>0.6979723340088217</v>
      </c>
      <c r="R105" s="38">
        <f t="shared" si="41"/>
        <v>0.674024048078213</v>
      </c>
      <c r="S105" s="62">
        <f t="shared" si="42"/>
        <v>76</v>
      </c>
      <c r="T105" s="12">
        <f t="shared" si="43"/>
        <v>43.137251433263685</v>
      </c>
      <c r="U105" s="22">
        <f t="shared" si="44"/>
        <v>256</v>
      </c>
      <c r="V105" s="12">
        <f t="shared" si="45"/>
        <v>166</v>
      </c>
      <c r="W105" s="23">
        <f t="shared" si="46"/>
        <v>46.862748566736315</v>
      </c>
      <c r="X105" s="65"/>
      <c r="Y105" s="66"/>
      <c r="Z105" s="27"/>
      <c r="AA105" s="2"/>
      <c r="AB105" s="1"/>
      <c r="AC105" s="83">
        <v>306.6</v>
      </c>
      <c r="AD105" s="84">
        <v>58.9</v>
      </c>
      <c r="AE105" s="22">
        <f t="shared" si="47"/>
        <v>309.4</v>
      </c>
      <c r="AF105" s="12">
        <f t="shared" si="48"/>
        <v>219.39999999999998</v>
      </c>
      <c r="AG105" s="12">
        <f t="shared" si="49"/>
        <v>46.862748566736315</v>
      </c>
      <c r="AH105" s="48"/>
      <c r="AI105" s="27"/>
      <c r="AM105" s="54"/>
    </row>
    <row r="106" spans="1:39" ht="12.75" customHeight="1">
      <c r="A106" s="89">
        <f t="shared" si="51"/>
        <v>58.964999999999996</v>
      </c>
      <c r="B106" s="90" t="s">
        <v>49</v>
      </c>
      <c r="C106" s="80" t="s">
        <v>53</v>
      </c>
      <c r="D106" s="80">
        <v>3</v>
      </c>
      <c r="E106" s="76" t="s">
        <v>50</v>
      </c>
      <c r="F106" s="77">
        <v>74</v>
      </c>
      <c r="G106" s="78">
        <v>81</v>
      </c>
      <c r="H106" s="1">
        <f t="shared" si="27"/>
        <v>77.5</v>
      </c>
      <c r="I106" s="79"/>
      <c r="J106" s="55">
        <v>90</v>
      </c>
      <c r="K106" s="60">
        <v>52</v>
      </c>
      <c r="L106" s="60">
        <v>29</v>
      </c>
      <c r="M106" s="60">
        <v>0</v>
      </c>
      <c r="N106" s="60"/>
      <c r="O106" s="61"/>
      <c r="P106" s="38">
        <f t="shared" si="39"/>
        <v>-0.38203519420610477</v>
      </c>
      <c r="Q106" s="38">
        <f t="shared" si="40"/>
        <v>0.6892097345422058</v>
      </c>
      <c r="R106" s="38">
        <f t="shared" si="41"/>
        <v>-0.5384696592463356</v>
      </c>
      <c r="S106" s="62">
        <f t="shared" si="42"/>
        <v>119</v>
      </c>
      <c r="T106" s="12">
        <f t="shared" si="43"/>
        <v>-34.345881507479625</v>
      </c>
      <c r="U106" s="22">
        <f t="shared" si="44"/>
        <v>119</v>
      </c>
      <c r="V106" s="12">
        <f t="shared" si="45"/>
        <v>29</v>
      </c>
      <c r="W106" s="23">
        <f t="shared" si="46"/>
        <v>55.654118492520375</v>
      </c>
      <c r="X106" s="65"/>
      <c r="Y106" s="66"/>
      <c r="Z106" s="27"/>
      <c r="AA106" s="2"/>
      <c r="AB106" s="1"/>
      <c r="AC106" s="83">
        <v>306.6</v>
      </c>
      <c r="AD106" s="84">
        <v>58.9</v>
      </c>
      <c r="AE106" s="22">
        <f t="shared" si="47"/>
        <v>172.39999999999998</v>
      </c>
      <c r="AF106" s="12">
        <f t="shared" si="48"/>
        <v>82.39999999999998</v>
      </c>
      <c r="AG106" s="12">
        <f t="shared" si="49"/>
        <v>55.654118492520375</v>
      </c>
      <c r="AH106" s="48"/>
      <c r="AI106" s="27"/>
      <c r="AM106" s="54"/>
    </row>
    <row r="107" spans="1:39" ht="12.75" customHeight="1">
      <c r="A107" s="89">
        <f t="shared" si="51"/>
        <v>58.985</v>
      </c>
      <c r="B107" s="90" t="s">
        <v>49</v>
      </c>
      <c r="C107" s="80" t="s">
        <v>53</v>
      </c>
      <c r="D107" s="58">
        <v>3</v>
      </c>
      <c r="E107" s="76" t="s">
        <v>50</v>
      </c>
      <c r="F107" s="77">
        <v>76</v>
      </c>
      <c r="G107" s="78">
        <v>83</v>
      </c>
      <c r="H107" s="1">
        <f t="shared" si="27"/>
        <v>79.5</v>
      </c>
      <c r="I107" s="79"/>
      <c r="J107" s="55">
        <v>90</v>
      </c>
      <c r="K107" s="60">
        <v>47</v>
      </c>
      <c r="L107" s="60">
        <v>51</v>
      </c>
      <c r="M107" s="60">
        <v>0</v>
      </c>
      <c r="N107" s="60"/>
      <c r="O107" s="61"/>
      <c r="P107" s="38">
        <f t="shared" si="39"/>
        <v>-0.5683685756099448</v>
      </c>
      <c r="Q107" s="38">
        <f t="shared" si="40"/>
        <v>0.46025579749872253</v>
      </c>
      <c r="R107" s="38">
        <f t="shared" si="41"/>
        <v>-0.42919547464987934</v>
      </c>
      <c r="S107" s="62">
        <f t="shared" si="42"/>
        <v>141</v>
      </c>
      <c r="T107" s="12">
        <f t="shared" si="43"/>
        <v>-30.406574032875533</v>
      </c>
      <c r="U107" s="22">
        <f t="shared" si="44"/>
        <v>141</v>
      </c>
      <c r="V107" s="12">
        <f t="shared" si="45"/>
        <v>51</v>
      </c>
      <c r="W107" s="23">
        <f t="shared" si="46"/>
        <v>59.59342596712447</v>
      </c>
      <c r="X107" s="65"/>
      <c r="Y107" s="66"/>
      <c r="Z107" s="27" t="s">
        <v>51</v>
      </c>
      <c r="AA107" s="2"/>
      <c r="AB107" s="1"/>
      <c r="AC107" s="83">
        <v>306.6</v>
      </c>
      <c r="AD107" s="84">
        <v>58.9</v>
      </c>
      <c r="AE107" s="22">
        <f t="shared" si="47"/>
        <v>194.39999999999998</v>
      </c>
      <c r="AF107" s="12">
        <f t="shared" si="48"/>
        <v>104.39999999999998</v>
      </c>
      <c r="AG107" s="12">
        <f t="shared" si="49"/>
        <v>59.59342596712447</v>
      </c>
      <c r="AH107" s="48"/>
      <c r="AI107" s="27" t="str">
        <f>Z107</f>
        <v>N</v>
      </c>
      <c r="AJ107" t="s">
        <v>54</v>
      </c>
      <c r="AM107" s="54"/>
    </row>
    <row r="108" spans="1:35" ht="12.75" customHeight="1">
      <c r="A108" s="89">
        <f t="shared" si="51"/>
        <v>59.04</v>
      </c>
      <c r="B108" s="90" t="s">
        <v>49</v>
      </c>
      <c r="C108" s="80" t="s">
        <v>53</v>
      </c>
      <c r="D108" s="80">
        <v>3</v>
      </c>
      <c r="E108" s="76" t="s">
        <v>44</v>
      </c>
      <c r="F108" s="77">
        <v>84</v>
      </c>
      <c r="G108" s="78">
        <v>86</v>
      </c>
      <c r="H108" s="1">
        <f t="shared" si="27"/>
        <v>85</v>
      </c>
      <c r="I108" s="79"/>
      <c r="J108" s="55">
        <v>270</v>
      </c>
      <c r="K108" s="60">
        <v>12</v>
      </c>
      <c r="L108" s="60">
        <v>14</v>
      </c>
      <c r="M108" s="60">
        <v>0</v>
      </c>
      <c r="N108" s="60"/>
      <c r="O108" s="61"/>
      <c r="P108" s="38">
        <f t="shared" si="39"/>
        <v>-0.05029839035996436</v>
      </c>
      <c r="Q108" s="38">
        <f t="shared" si="40"/>
        <v>0.2017358250432882</v>
      </c>
      <c r="R108" s="38">
        <f t="shared" si="41"/>
        <v>0.9490924366591315</v>
      </c>
      <c r="S108" s="62">
        <f t="shared" si="42"/>
        <v>104</v>
      </c>
      <c r="T108" s="12">
        <f t="shared" si="43"/>
        <v>77.64376152811363</v>
      </c>
      <c r="U108" s="22">
        <f t="shared" si="44"/>
        <v>284</v>
      </c>
      <c r="V108" s="12">
        <f t="shared" si="45"/>
        <v>194</v>
      </c>
      <c r="W108" s="23">
        <f t="shared" si="46"/>
        <v>12.356238471886371</v>
      </c>
      <c r="X108" s="65"/>
      <c r="Y108" s="66"/>
      <c r="Z108" s="27"/>
      <c r="AA108" s="2"/>
      <c r="AB108" s="11"/>
      <c r="AC108" s="83">
        <v>306.6</v>
      </c>
      <c r="AD108" s="84">
        <v>58.9</v>
      </c>
      <c r="AE108" s="22">
        <f t="shared" si="47"/>
        <v>337.4</v>
      </c>
      <c r="AF108" s="12">
        <f t="shared" si="48"/>
        <v>247.39999999999998</v>
      </c>
      <c r="AG108" s="12">
        <f t="shared" si="49"/>
        <v>12.356238471886371</v>
      </c>
      <c r="AH108" s="48"/>
      <c r="AI108" s="27"/>
    </row>
    <row r="109" spans="1:39" ht="12.75" customHeight="1">
      <c r="A109" s="89">
        <f t="shared" si="51"/>
        <v>59.044999999999995</v>
      </c>
      <c r="B109" s="90" t="s">
        <v>49</v>
      </c>
      <c r="C109" s="80" t="s">
        <v>53</v>
      </c>
      <c r="D109" s="80">
        <v>3</v>
      </c>
      <c r="E109" s="76" t="s">
        <v>50</v>
      </c>
      <c r="F109" s="77">
        <v>81</v>
      </c>
      <c r="G109" s="78">
        <v>90</v>
      </c>
      <c r="H109" s="1">
        <f t="shared" si="27"/>
        <v>85.5</v>
      </c>
      <c r="I109" s="79"/>
      <c r="J109" s="55">
        <v>90</v>
      </c>
      <c r="K109" s="60">
        <v>45</v>
      </c>
      <c r="L109" s="60">
        <v>46</v>
      </c>
      <c r="M109" s="60">
        <v>0</v>
      </c>
      <c r="N109" s="60"/>
      <c r="O109" s="61"/>
      <c r="P109" s="38">
        <f t="shared" si="39"/>
        <v>-0.5086500507968373</v>
      </c>
      <c r="Q109" s="38">
        <f t="shared" si="40"/>
        <v>0.4911976443595539</v>
      </c>
      <c r="R109" s="38">
        <f t="shared" si="41"/>
        <v>-0.4911976443595539</v>
      </c>
      <c r="S109" s="62">
        <f t="shared" si="42"/>
        <v>136</v>
      </c>
      <c r="T109" s="12">
        <f t="shared" si="43"/>
        <v>-34.78609974471375</v>
      </c>
      <c r="U109" s="22">
        <f t="shared" si="44"/>
        <v>136</v>
      </c>
      <c r="V109" s="12">
        <f t="shared" si="45"/>
        <v>46</v>
      </c>
      <c r="W109" s="23">
        <f t="shared" si="46"/>
        <v>55.21390025528625</v>
      </c>
      <c r="X109" s="65"/>
      <c r="Y109" s="66"/>
      <c r="Z109" s="27" t="s">
        <v>51</v>
      </c>
      <c r="AA109" s="2"/>
      <c r="AB109" s="11"/>
      <c r="AC109" s="83">
        <v>306.6</v>
      </c>
      <c r="AD109" s="84">
        <v>58.9</v>
      </c>
      <c r="AE109" s="22">
        <f t="shared" si="47"/>
        <v>189.39999999999998</v>
      </c>
      <c r="AF109" s="12">
        <f t="shared" si="48"/>
        <v>99.39999999999998</v>
      </c>
      <c r="AG109" s="12">
        <f t="shared" si="49"/>
        <v>55.21390025528625</v>
      </c>
      <c r="AH109" s="48"/>
      <c r="AI109" s="27" t="str">
        <f>Z109</f>
        <v>N</v>
      </c>
      <c r="AJ109" t="s">
        <v>55</v>
      </c>
      <c r="AM109" s="54"/>
    </row>
    <row r="110" spans="1:39" ht="12.75" customHeight="1">
      <c r="A110" s="89">
        <f t="shared" si="51"/>
        <v>59.08</v>
      </c>
      <c r="B110" s="90" t="s">
        <v>49</v>
      </c>
      <c r="C110" s="80" t="s">
        <v>53</v>
      </c>
      <c r="D110" s="80">
        <v>3</v>
      </c>
      <c r="E110" s="76" t="s">
        <v>50</v>
      </c>
      <c r="F110" s="77">
        <v>85</v>
      </c>
      <c r="G110" s="78">
        <v>93</v>
      </c>
      <c r="H110" s="1">
        <f t="shared" si="27"/>
        <v>89</v>
      </c>
      <c r="I110" s="79"/>
      <c r="J110" s="55">
        <v>90</v>
      </c>
      <c r="K110" s="60">
        <v>44</v>
      </c>
      <c r="L110" s="60">
        <v>56</v>
      </c>
      <c r="M110" s="60">
        <v>0</v>
      </c>
      <c r="N110" s="60"/>
      <c r="O110" s="61"/>
      <c r="P110" s="38">
        <f t="shared" si="39"/>
        <v>-0.575897889200368</v>
      </c>
      <c r="Q110" s="38">
        <f t="shared" si="40"/>
        <v>0.3884480310972243</v>
      </c>
      <c r="R110" s="38">
        <f t="shared" si="41"/>
        <v>-0.4022497115334376</v>
      </c>
      <c r="S110" s="62">
        <f t="shared" si="42"/>
        <v>146</v>
      </c>
      <c r="T110" s="12">
        <f t="shared" si="43"/>
        <v>-30.073467487076975</v>
      </c>
      <c r="U110" s="22">
        <f t="shared" si="44"/>
        <v>146</v>
      </c>
      <c r="V110" s="12">
        <f t="shared" si="45"/>
        <v>56</v>
      </c>
      <c r="W110" s="23">
        <f t="shared" si="46"/>
        <v>59.926532512923025</v>
      </c>
      <c r="X110" s="65"/>
      <c r="Y110" s="66"/>
      <c r="Z110" s="27"/>
      <c r="AA110" s="2"/>
      <c r="AB110" s="11"/>
      <c r="AC110" s="83">
        <v>306.6</v>
      </c>
      <c r="AD110" s="84">
        <v>58.9</v>
      </c>
      <c r="AE110" s="22">
        <f t="shared" si="47"/>
        <v>199.39999999999998</v>
      </c>
      <c r="AF110" s="12">
        <f t="shared" si="48"/>
        <v>109.39999999999998</v>
      </c>
      <c r="AG110" s="12">
        <f t="shared" si="49"/>
        <v>59.926532512923025</v>
      </c>
      <c r="AH110" s="48"/>
      <c r="AI110" s="27"/>
      <c r="AM110" s="54"/>
    </row>
    <row r="111" spans="1:35" ht="12.75" customHeight="1">
      <c r="A111" s="89">
        <f>H111/100+59.533</f>
        <v>59.728</v>
      </c>
      <c r="B111" s="90" t="s">
        <v>49</v>
      </c>
      <c r="C111" s="80" t="s">
        <v>53</v>
      </c>
      <c r="D111" s="80">
        <v>4</v>
      </c>
      <c r="E111" s="76" t="s">
        <v>44</v>
      </c>
      <c r="F111" s="77">
        <v>19</v>
      </c>
      <c r="G111" s="78">
        <v>20</v>
      </c>
      <c r="H111" s="1">
        <f t="shared" si="27"/>
        <v>19.5</v>
      </c>
      <c r="I111" s="79"/>
      <c r="J111" s="55">
        <v>270</v>
      </c>
      <c r="K111" s="60">
        <v>2</v>
      </c>
      <c r="L111" s="60">
        <v>339</v>
      </c>
      <c r="M111" s="60">
        <v>0</v>
      </c>
      <c r="N111" s="60"/>
      <c r="O111" s="61"/>
      <c r="P111" s="38">
        <f t="shared" si="39"/>
        <v>0.012506861073438258</v>
      </c>
      <c r="Q111" s="38">
        <f t="shared" si="40"/>
        <v>0.032581487016058536</v>
      </c>
      <c r="R111" s="38">
        <f t="shared" si="41"/>
        <v>0.9330117145258785</v>
      </c>
      <c r="S111" s="62">
        <f t="shared" si="42"/>
        <v>68.99999999999997</v>
      </c>
      <c r="T111" s="12">
        <f t="shared" si="43"/>
        <v>87.8578381790642</v>
      </c>
      <c r="U111" s="22">
        <f t="shared" si="44"/>
        <v>248.99999999999997</v>
      </c>
      <c r="V111" s="12">
        <f t="shared" si="45"/>
        <v>158.99999999999997</v>
      </c>
      <c r="W111" s="23">
        <f t="shared" si="46"/>
        <v>2.1421618209357973</v>
      </c>
      <c r="X111" s="65"/>
      <c r="Y111" s="66"/>
      <c r="Z111" s="27"/>
      <c r="AA111" s="2"/>
      <c r="AB111" s="11"/>
      <c r="AC111" s="83">
        <v>306.6</v>
      </c>
      <c r="AD111" s="84">
        <v>58.9</v>
      </c>
      <c r="AE111" s="22">
        <f t="shared" si="47"/>
        <v>302.4</v>
      </c>
      <c r="AF111" s="12">
        <f t="shared" si="48"/>
        <v>212.39999999999998</v>
      </c>
      <c r="AG111" s="12">
        <f t="shared" si="49"/>
        <v>2.1421618209357973</v>
      </c>
      <c r="AH111" s="48"/>
      <c r="AI111" s="27"/>
    </row>
    <row r="112" spans="1:39" ht="12.75" customHeight="1">
      <c r="A112" s="89">
        <f>H112/100+59.533</f>
        <v>59.908</v>
      </c>
      <c r="B112" s="90" t="s">
        <v>49</v>
      </c>
      <c r="C112" s="80" t="s">
        <v>53</v>
      </c>
      <c r="D112" s="80">
        <v>4</v>
      </c>
      <c r="E112" s="76" t="s">
        <v>50</v>
      </c>
      <c r="F112" s="77">
        <v>34</v>
      </c>
      <c r="G112" s="78">
        <v>41</v>
      </c>
      <c r="H112" s="1">
        <f t="shared" si="27"/>
        <v>37.5</v>
      </c>
      <c r="I112" s="79"/>
      <c r="J112" s="55">
        <v>90</v>
      </c>
      <c r="K112" s="60">
        <v>49</v>
      </c>
      <c r="L112" s="60">
        <v>67</v>
      </c>
      <c r="M112" s="60">
        <v>0</v>
      </c>
      <c r="N112" s="60"/>
      <c r="O112" s="61"/>
      <c r="P112" s="38">
        <f t="shared" si="39"/>
        <v>-0.6947138315421154</v>
      </c>
      <c r="Q112" s="38">
        <f t="shared" si="40"/>
        <v>0.2948885259621099</v>
      </c>
      <c r="R112" s="38">
        <f t="shared" si="41"/>
        <v>-0.2563426847530381</v>
      </c>
      <c r="S112" s="62">
        <f t="shared" si="42"/>
        <v>157</v>
      </c>
      <c r="T112" s="12">
        <f t="shared" si="43"/>
        <v>-18.760435276756027</v>
      </c>
      <c r="U112" s="22">
        <f t="shared" si="44"/>
        <v>157</v>
      </c>
      <c r="V112" s="12">
        <f t="shared" si="45"/>
        <v>67</v>
      </c>
      <c r="W112" s="23">
        <f t="shared" si="46"/>
        <v>71.23956472324397</v>
      </c>
      <c r="X112" s="65"/>
      <c r="Y112" s="66"/>
      <c r="Z112" s="27"/>
      <c r="AA112" s="2"/>
      <c r="AB112" s="11"/>
      <c r="AC112" s="83">
        <v>306.6</v>
      </c>
      <c r="AD112" s="84">
        <v>58.9</v>
      </c>
      <c r="AE112" s="22">
        <f t="shared" si="47"/>
        <v>210.39999999999998</v>
      </c>
      <c r="AF112" s="12">
        <f t="shared" si="48"/>
        <v>120.39999999999998</v>
      </c>
      <c r="AG112" s="12">
        <f t="shared" si="49"/>
        <v>71.23956472324397</v>
      </c>
      <c r="AH112" s="48"/>
      <c r="AI112" s="27"/>
      <c r="AM112" s="54"/>
    </row>
    <row r="113" spans="1:39" ht="12.75" customHeight="1">
      <c r="A113" s="89">
        <f>H113/100+59.533</f>
        <v>60.053000000000004</v>
      </c>
      <c r="B113" s="90" t="s">
        <v>49</v>
      </c>
      <c r="C113" s="80" t="s">
        <v>53</v>
      </c>
      <c r="D113" s="80">
        <v>4</v>
      </c>
      <c r="E113" s="76" t="s">
        <v>50</v>
      </c>
      <c r="F113" s="77">
        <v>49</v>
      </c>
      <c r="G113" s="78">
        <v>55</v>
      </c>
      <c r="H113" s="1">
        <f t="shared" si="27"/>
        <v>52</v>
      </c>
      <c r="I113" s="79"/>
      <c r="J113" s="55">
        <v>90</v>
      </c>
      <c r="K113" s="60">
        <v>45</v>
      </c>
      <c r="L113" s="60">
        <v>329</v>
      </c>
      <c r="M113" s="60">
        <v>0</v>
      </c>
      <c r="N113" s="60"/>
      <c r="O113" s="61"/>
      <c r="P113" s="38">
        <f t="shared" si="39"/>
        <v>0.36418691533816455</v>
      </c>
      <c r="Q113" s="38">
        <f t="shared" si="40"/>
        <v>0.6061088109378319</v>
      </c>
      <c r="R113" s="38">
        <f t="shared" si="41"/>
        <v>-0.606108810937832</v>
      </c>
      <c r="S113" s="62">
        <f t="shared" si="42"/>
        <v>58.99999999999998</v>
      </c>
      <c r="T113" s="12">
        <f t="shared" si="43"/>
        <v>-40.60210198968036</v>
      </c>
      <c r="U113" s="22">
        <f t="shared" si="44"/>
        <v>58.99999999999998</v>
      </c>
      <c r="V113" s="12">
        <f t="shared" si="45"/>
        <v>329</v>
      </c>
      <c r="W113" s="23">
        <f t="shared" si="46"/>
        <v>49.39789801031964</v>
      </c>
      <c r="X113" s="65"/>
      <c r="Y113" s="66"/>
      <c r="Z113" s="27" t="s">
        <v>51</v>
      </c>
      <c r="AA113" s="2"/>
      <c r="AB113" s="11"/>
      <c r="AC113" s="83">
        <v>306.6</v>
      </c>
      <c r="AD113" s="84">
        <v>58.9</v>
      </c>
      <c r="AE113" s="22">
        <f t="shared" si="47"/>
        <v>112.39999999999995</v>
      </c>
      <c r="AF113" s="12">
        <f t="shared" si="48"/>
        <v>22.39999999999995</v>
      </c>
      <c r="AG113" s="12">
        <f t="shared" si="49"/>
        <v>49.39789801031964</v>
      </c>
      <c r="AH113" s="48"/>
      <c r="AI113" s="27" t="str">
        <f>Z113</f>
        <v>N</v>
      </c>
      <c r="AJ113" t="s">
        <v>59</v>
      </c>
      <c r="AM113" s="54"/>
    </row>
    <row r="114" spans="1:39" ht="12.75" customHeight="1">
      <c r="A114" s="89">
        <f>H114/100+59.533</f>
        <v>60.358000000000004</v>
      </c>
      <c r="B114" s="90" t="s">
        <v>49</v>
      </c>
      <c r="C114" s="80" t="s">
        <v>53</v>
      </c>
      <c r="D114" s="80">
        <v>4</v>
      </c>
      <c r="E114" s="76" t="s">
        <v>50</v>
      </c>
      <c r="F114" s="77">
        <v>79</v>
      </c>
      <c r="G114" s="78">
        <v>86</v>
      </c>
      <c r="H114" s="1">
        <f t="shared" si="27"/>
        <v>82.5</v>
      </c>
      <c r="I114" s="79"/>
      <c r="J114" s="55">
        <v>90</v>
      </c>
      <c r="K114" s="60">
        <v>47</v>
      </c>
      <c r="L114" s="60">
        <v>330</v>
      </c>
      <c r="M114" s="60">
        <v>0</v>
      </c>
      <c r="N114" s="60"/>
      <c r="O114" s="61"/>
      <c r="P114" s="38">
        <f t="shared" si="39"/>
        <v>0.36567685080958556</v>
      </c>
      <c r="Q114" s="38">
        <f t="shared" si="40"/>
        <v>0.6333708847539857</v>
      </c>
      <c r="R114" s="38">
        <f t="shared" si="41"/>
        <v>-0.59062790515345</v>
      </c>
      <c r="S114" s="62">
        <f t="shared" si="42"/>
        <v>59.99999999999997</v>
      </c>
      <c r="T114" s="12">
        <f t="shared" si="43"/>
        <v>-38.92370993938229</v>
      </c>
      <c r="U114" s="22">
        <f t="shared" si="44"/>
        <v>59.99999999999997</v>
      </c>
      <c r="V114" s="12">
        <f t="shared" si="45"/>
        <v>330</v>
      </c>
      <c r="W114" s="23">
        <f t="shared" si="46"/>
        <v>51.07629006061771</v>
      </c>
      <c r="X114" s="65"/>
      <c r="Y114" s="66"/>
      <c r="Z114" s="27" t="s">
        <v>51</v>
      </c>
      <c r="AA114" s="2"/>
      <c r="AB114" s="1"/>
      <c r="AC114" s="83">
        <v>306.6</v>
      </c>
      <c r="AD114" s="84">
        <v>58.9</v>
      </c>
      <c r="AE114" s="22">
        <f t="shared" si="47"/>
        <v>113.39999999999995</v>
      </c>
      <c r="AF114" s="12">
        <f t="shared" si="48"/>
        <v>23.39999999999995</v>
      </c>
      <c r="AG114" s="12">
        <f t="shared" si="49"/>
        <v>51.07629006061771</v>
      </c>
      <c r="AH114" s="48"/>
      <c r="AI114" s="27" t="str">
        <f>Z114</f>
        <v>N</v>
      </c>
      <c r="AJ114" t="s">
        <v>59</v>
      </c>
      <c r="AM114" s="54"/>
    </row>
    <row r="115" spans="1:39" ht="12.75" customHeight="1">
      <c r="A115" s="89">
        <f>H115/100+59.533</f>
        <v>60.623000000000005</v>
      </c>
      <c r="B115" s="90" t="s">
        <v>49</v>
      </c>
      <c r="C115" s="80" t="s">
        <v>53</v>
      </c>
      <c r="D115" s="80">
        <v>4</v>
      </c>
      <c r="E115" s="2" t="s">
        <v>148</v>
      </c>
      <c r="F115" s="77">
        <v>108</v>
      </c>
      <c r="G115" s="78">
        <v>110</v>
      </c>
      <c r="H115" s="1">
        <f t="shared" si="27"/>
        <v>109</v>
      </c>
      <c r="I115" s="79"/>
      <c r="J115" s="55">
        <v>90</v>
      </c>
      <c r="K115" s="60">
        <v>78</v>
      </c>
      <c r="L115" s="60">
        <v>99</v>
      </c>
      <c r="M115" s="60">
        <v>0</v>
      </c>
      <c r="N115" s="60"/>
      <c r="O115" s="61"/>
      <c r="P115" s="38">
        <f t="shared" si="39"/>
        <v>-0.9661049806258877</v>
      </c>
      <c r="Q115" s="38">
        <f t="shared" si="40"/>
        <v>-0.15301599665117838</v>
      </c>
      <c r="R115" s="38">
        <f t="shared" si="41"/>
        <v>0.03252455412868613</v>
      </c>
      <c r="S115" s="62">
        <f t="shared" si="42"/>
        <v>189</v>
      </c>
      <c r="T115" s="12">
        <f t="shared" si="43"/>
        <v>1.9044501481466778</v>
      </c>
      <c r="U115" s="22">
        <f t="shared" si="44"/>
        <v>9</v>
      </c>
      <c r="V115" s="12">
        <f t="shared" si="45"/>
        <v>279</v>
      </c>
      <c r="W115" s="23">
        <f t="shared" si="46"/>
        <v>88.09554985185332</v>
      </c>
      <c r="X115" s="65"/>
      <c r="Y115" s="66"/>
      <c r="Z115" s="27"/>
      <c r="AA115" s="2"/>
      <c r="AB115" s="1"/>
      <c r="AC115" s="83">
        <v>306.6</v>
      </c>
      <c r="AD115" s="84">
        <v>58.9</v>
      </c>
      <c r="AE115" s="22">
        <f t="shared" si="47"/>
        <v>62.39999999999998</v>
      </c>
      <c r="AF115" s="12">
        <f t="shared" si="48"/>
        <v>332.4</v>
      </c>
      <c r="AG115" s="12">
        <f t="shared" si="49"/>
        <v>88.09554985185332</v>
      </c>
      <c r="AH115" s="48"/>
      <c r="AI115" s="27"/>
      <c r="AL115" s="54"/>
      <c r="AM115" s="54"/>
    </row>
    <row r="116" spans="1:39" ht="12.75" customHeight="1">
      <c r="A116" s="89">
        <f>H116/100+60.905</f>
        <v>61.495000000000005</v>
      </c>
      <c r="B116" s="90" t="s">
        <v>49</v>
      </c>
      <c r="C116" s="80" t="s">
        <v>53</v>
      </c>
      <c r="D116" s="80">
        <v>6</v>
      </c>
      <c r="E116" s="76" t="s">
        <v>50</v>
      </c>
      <c r="F116" s="77">
        <v>56</v>
      </c>
      <c r="G116" s="78">
        <v>62</v>
      </c>
      <c r="H116" s="1">
        <f t="shared" si="27"/>
        <v>59</v>
      </c>
      <c r="I116" s="79"/>
      <c r="J116" s="55">
        <v>90</v>
      </c>
      <c r="K116" s="60">
        <v>42</v>
      </c>
      <c r="L116" s="60">
        <v>66</v>
      </c>
      <c r="M116" s="60">
        <v>0</v>
      </c>
      <c r="N116" s="60"/>
      <c r="O116" s="61"/>
      <c r="P116" s="38">
        <f t="shared" si="39"/>
        <v>-0.6112812260087742</v>
      </c>
      <c r="Q116" s="38">
        <f t="shared" si="40"/>
        <v>0.2721599366096767</v>
      </c>
      <c r="R116" s="38">
        <f t="shared" si="41"/>
        <v>-0.3022642316338267</v>
      </c>
      <c r="S116" s="62">
        <f t="shared" si="42"/>
        <v>156</v>
      </c>
      <c r="T116" s="12">
        <f t="shared" si="43"/>
        <v>-24.30996963124974</v>
      </c>
      <c r="U116" s="22">
        <f t="shared" si="44"/>
        <v>156</v>
      </c>
      <c r="V116" s="12">
        <f t="shared" si="45"/>
        <v>66</v>
      </c>
      <c r="W116" s="23">
        <f t="shared" si="46"/>
        <v>65.69003036875026</v>
      </c>
      <c r="X116" s="65"/>
      <c r="Y116" s="66"/>
      <c r="Z116" s="27"/>
      <c r="AA116" s="2"/>
      <c r="AB116" s="1"/>
      <c r="AC116" s="83">
        <v>306.6</v>
      </c>
      <c r="AD116" s="84">
        <v>58.9</v>
      </c>
      <c r="AE116" s="22">
        <f t="shared" si="47"/>
        <v>209.39999999999998</v>
      </c>
      <c r="AF116" s="12">
        <f t="shared" si="48"/>
        <v>119.39999999999998</v>
      </c>
      <c r="AG116" s="12">
        <f t="shared" si="49"/>
        <v>65.69003036875026</v>
      </c>
      <c r="AH116" s="48"/>
      <c r="AI116" s="27"/>
      <c r="AM116" s="54"/>
    </row>
    <row r="117" spans="1:35" ht="12.75" customHeight="1">
      <c r="A117" s="89">
        <f>H117/100+60.905</f>
        <v>61.870000000000005</v>
      </c>
      <c r="B117" s="90" t="s">
        <v>49</v>
      </c>
      <c r="C117" s="80" t="s">
        <v>53</v>
      </c>
      <c r="D117" s="80">
        <v>6</v>
      </c>
      <c r="E117" s="76" t="s">
        <v>44</v>
      </c>
      <c r="F117" s="77">
        <v>96</v>
      </c>
      <c r="G117" s="78">
        <v>97</v>
      </c>
      <c r="H117" s="1">
        <f t="shared" si="27"/>
        <v>96.5</v>
      </c>
      <c r="I117" s="79"/>
      <c r="J117" s="55">
        <v>90</v>
      </c>
      <c r="K117" s="60">
        <v>0</v>
      </c>
      <c r="L117" s="60">
        <v>0</v>
      </c>
      <c r="M117" s="60">
        <v>0</v>
      </c>
      <c r="N117" s="60"/>
      <c r="O117" s="61"/>
      <c r="P117" s="38">
        <f t="shared" si="39"/>
        <v>0</v>
      </c>
      <c r="Q117" s="38">
        <f t="shared" si="40"/>
        <v>0</v>
      </c>
      <c r="R117" s="38">
        <f t="shared" si="41"/>
        <v>-1</v>
      </c>
      <c r="S117" s="62">
        <f t="shared" si="42"/>
        <v>90</v>
      </c>
      <c r="T117" s="12">
        <f t="shared" si="43"/>
        <v>-90</v>
      </c>
      <c r="U117" s="22">
        <f t="shared" si="44"/>
        <v>90</v>
      </c>
      <c r="V117" s="12">
        <f t="shared" si="45"/>
        <v>0</v>
      </c>
      <c r="W117" s="23">
        <f t="shared" si="46"/>
        <v>0</v>
      </c>
      <c r="X117" s="65"/>
      <c r="Y117" s="66"/>
      <c r="Z117" s="27"/>
      <c r="AA117" s="2"/>
      <c r="AB117" s="11"/>
      <c r="AC117" s="83">
        <v>306.6</v>
      </c>
      <c r="AD117" s="84">
        <v>58.9</v>
      </c>
      <c r="AE117" s="22">
        <f t="shared" si="47"/>
        <v>143.39999999999998</v>
      </c>
      <c r="AF117" s="12">
        <f t="shared" si="48"/>
        <v>53.39999999999998</v>
      </c>
      <c r="AG117" s="12">
        <f t="shared" si="49"/>
        <v>0</v>
      </c>
      <c r="AH117" s="48"/>
      <c r="AI117" s="27"/>
    </row>
    <row r="118" spans="1:35" ht="12.75" customHeight="1">
      <c r="A118" s="89">
        <f>H118/100+62.257</f>
        <v>62.361999999999995</v>
      </c>
      <c r="B118" s="90" t="s">
        <v>49</v>
      </c>
      <c r="C118" s="80" t="s">
        <v>53</v>
      </c>
      <c r="D118" s="80">
        <v>7</v>
      </c>
      <c r="E118" s="76" t="s">
        <v>44</v>
      </c>
      <c r="F118" s="77">
        <v>10</v>
      </c>
      <c r="G118" s="78">
        <v>11</v>
      </c>
      <c r="H118" s="1">
        <f t="shared" si="27"/>
        <v>10.5</v>
      </c>
      <c r="I118" s="79"/>
      <c r="J118" s="55">
        <v>90</v>
      </c>
      <c r="K118" s="60">
        <v>2</v>
      </c>
      <c r="L118" s="60">
        <v>357</v>
      </c>
      <c r="M118" s="60">
        <v>0</v>
      </c>
      <c r="N118" s="60"/>
      <c r="O118" s="61"/>
      <c r="P118" s="38">
        <f t="shared" si="39"/>
        <v>0.001826498532322872</v>
      </c>
      <c r="Q118" s="38">
        <f t="shared" si="40"/>
        <v>0.034851668155187324</v>
      </c>
      <c r="R118" s="38">
        <f t="shared" si="41"/>
        <v>-0.9980211966240684</v>
      </c>
      <c r="S118" s="62">
        <f t="shared" si="42"/>
        <v>86.99999999999997</v>
      </c>
      <c r="T118" s="12">
        <f t="shared" si="43"/>
        <v>-87.99725754159613</v>
      </c>
      <c r="U118" s="22">
        <f t="shared" si="44"/>
        <v>86.99999999999997</v>
      </c>
      <c r="V118" s="12">
        <f t="shared" si="45"/>
        <v>357</v>
      </c>
      <c r="W118" s="23">
        <f t="shared" si="46"/>
        <v>2.0027424584038727</v>
      </c>
      <c r="X118" s="65"/>
      <c r="Y118" s="66"/>
      <c r="Z118" s="27"/>
      <c r="AA118" s="2"/>
      <c r="AB118" s="11"/>
      <c r="AC118" s="83">
        <v>306.6</v>
      </c>
      <c r="AD118" s="84">
        <v>58.9</v>
      </c>
      <c r="AE118" s="22">
        <f t="shared" si="47"/>
        <v>140.39999999999995</v>
      </c>
      <c r="AF118" s="12">
        <f t="shared" si="48"/>
        <v>50.39999999999995</v>
      </c>
      <c r="AG118" s="12">
        <f t="shared" si="49"/>
        <v>2.0027424584038727</v>
      </c>
      <c r="AH118" s="48"/>
      <c r="AI118" s="27"/>
    </row>
    <row r="119" spans="1:35" ht="12.75" customHeight="1">
      <c r="A119" s="89">
        <f>H119/100+62.257</f>
        <v>62.422</v>
      </c>
      <c r="B119" s="90" t="s">
        <v>49</v>
      </c>
      <c r="C119" s="80" t="s">
        <v>53</v>
      </c>
      <c r="D119" s="80">
        <v>7</v>
      </c>
      <c r="E119" s="76" t="s">
        <v>44</v>
      </c>
      <c r="F119" s="77">
        <v>16</v>
      </c>
      <c r="G119" s="78">
        <v>17</v>
      </c>
      <c r="H119" s="1">
        <f t="shared" si="27"/>
        <v>16.5</v>
      </c>
      <c r="I119" s="79"/>
      <c r="J119" s="55">
        <v>270</v>
      </c>
      <c r="K119" s="60">
        <v>7</v>
      </c>
      <c r="L119" s="60">
        <v>17</v>
      </c>
      <c r="M119" s="60">
        <v>0</v>
      </c>
      <c r="N119" s="60"/>
      <c r="O119" s="61"/>
      <c r="P119" s="38">
        <f t="shared" si="39"/>
        <v>-0.035631147684803584</v>
      </c>
      <c r="Q119" s="38">
        <f t="shared" si="40"/>
        <v>0.11654423270443492</v>
      </c>
      <c r="R119" s="38">
        <f t="shared" si="41"/>
        <v>0.9491766053274043</v>
      </c>
      <c r="S119" s="62">
        <f t="shared" si="42"/>
        <v>107</v>
      </c>
      <c r="T119" s="12">
        <f t="shared" si="43"/>
        <v>82.68354888517521</v>
      </c>
      <c r="U119" s="22">
        <f t="shared" si="44"/>
        <v>287</v>
      </c>
      <c r="V119" s="12">
        <f t="shared" si="45"/>
        <v>197</v>
      </c>
      <c r="W119" s="23">
        <f t="shared" si="46"/>
        <v>7.316451114824787</v>
      </c>
      <c r="X119" s="65"/>
      <c r="Y119" s="66"/>
      <c r="Z119" s="27"/>
      <c r="AA119" s="2"/>
      <c r="AB119" s="11"/>
      <c r="AC119" s="83">
        <v>306.6</v>
      </c>
      <c r="AD119" s="84">
        <v>58.9</v>
      </c>
      <c r="AE119" s="22">
        <f t="shared" si="47"/>
        <v>340.4</v>
      </c>
      <c r="AF119" s="12">
        <f t="shared" si="48"/>
        <v>250.39999999999998</v>
      </c>
      <c r="AG119" s="12">
        <f t="shared" si="49"/>
        <v>7.316451114824787</v>
      </c>
      <c r="AH119" s="48"/>
      <c r="AI119" s="27"/>
    </row>
    <row r="120" spans="1:39" ht="12.75" customHeight="1">
      <c r="A120" s="89">
        <f>H120/100+62.257</f>
        <v>62.732</v>
      </c>
      <c r="B120" s="90" t="s">
        <v>49</v>
      </c>
      <c r="C120" s="80" t="s">
        <v>53</v>
      </c>
      <c r="D120" s="80">
        <v>7</v>
      </c>
      <c r="E120" s="76" t="s">
        <v>50</v>
      </c>
      <c r="F120" s="77">
        <v>45</v>
      </c>
      <c r="G120" s="78">
        <v>50</v>
      </c>
      <c r="H120" s="1">
        <f t="shared" si="27"/>
        <v>47.5</v>
      </c>
      <c r="I120" s="79"/>
      <c r="J120" s="55">
        <v>90</v>
      </c>
      <c r="K120" s="60">
        <v>68</v>
      </c>
      <c r="L120" s="60">
        <v>35</v>
      </c>
      <c r="M120" s="60">
        <v>0</v>
      </c>
      <c r="N120" s="60"/>
      <c r="O120" s="61"/>
      <c r="P120" s="38">
        <f t="shared" si="39"/>
        <v>-0.5318108111446445</v>
      </c>
      <c r="Q120" s="38">
        <f t="shared" si="40"/>
        <v>0.7595045499001312</v>
      </c>
      <c r="R120" s="38">
        <f t="shared" si="41"/>
        <v>-0.3068597568007795</v>
      </c>
      <c r="S120" s="62">
        <f t="shared" si="42"/>
        <v>125</v>
      </c>
      <c r="T120" s="12">
        <f t="shared" si="43"/>
        <v>-18.312421678077243</v>
      </c>
      <c r="U120" s="22">
        <f t="shared" si="44"/>
        <v>125</v>
      </c>
      <c r="V120" s="12">
        <f t="shared" si="45"/>
        <v>35</v>
      </c>
      <c r="W120" s="23">
        <f t="shared" si="46"/>
        <v>71.68757832192276</v>
      </c>
      <c r="X120" s="65"/>
      <c r="Y120" s="66"/>
      <c r="Z120" s="27" t="s">
        <v>51</v>
      </c>
      <c r="AA120" s="2"/>
      <c r="AB120" s="11"/>
      <c r="AC120" s="83">
        <v>306.6</v>
      </c>
      <c r="AD120" s="84">
        <v>58.9</v>
      </c>
      <c r="AE120" s="22">
        <f t="shared" si="47"/>
        <v>178.39999999999998</v>
      </c>
      <c r="AF120" s="12">
        <f t="shared" si="48"/>
        <v>88.39999999999998</v>
      </c>
      <c r="AG120" s="12">
        <f t="shared" si="49"/>
        <v>71.68757832192276</v>
      </c>
      <c r="AH120" s="48"/>
      <c r="AI120" s="27" t="str">
        <f>Z120</f>
        <v>N</v>
      </c>
      <c r="AJ120" t="s">
        <v>58</v>
      </c>
      <c r="AM120" s="54"/>
    </row>
    <row r="121" spans="1:35" ht="12.75" customHeight="1">
      <c r="A121" s="89">
        <f>H121/100+62.257</f>
        <v>62.972</v>
      </c>
      <c r="B121" s="90" t="s">
        <v>49</v>
      </c>
      <c r="C121" s="80" t="s">
        <v>53</v>
      </c>
      <c r="D121" s="80">
        <v>7</v>
      </c>
      <c r="E121" s="76" t="s">
        <v>44</v>
      </c>
      <c r="F121" s="77">
        <v>71</v>
      </c>
      <c r="G121" s="78">
        <v>72</v>
      </c>
      <c r="H121" s="1">
        <f t="shared" si="27"/>
        <v>71.5</v>
      </c>
      <c r="I121" s="79"/>
      <c r="J121" s="55">
        <v>270</v>
      </c>
      <c r="K121" s="60">
        <v>8</v>
      </c>
      <c r="L121" s="60">
        <v>350</v>
      </c>
      <c r="M121" s="60">
        <v>0</v>
      </c>
      <c r="N121" s="60"/>
      <c r="O121" s="61"/>
      <c r="P121" s="38">
        <f t="shared" si="39"/>
        <v>0.024167155361971206</v>
      </c>
      <c r="Q121" s="38">
        <f t="shared" si="40"/>
        <v>0.1370587488362232</v>
      </c>
      <c r="R121" s="38">
        <f t="shared" si="41"/>
        <v>0.9752236716571245</v>
      </c>
      <c r="S121" s="62">
        <f t="shared" si="42"/>
        <v>79.99999999999994</v>
      </c>
      <c r="T121" s="12">
        <f t="shared" si="43"/>
        <v>81.87822143189481</v>
      </c>
      <c r="U121" s="22">
        <f t="shared" si="44"/>
        <v>259.99999999999994</v>
      </c>
      <c r="V121" s="12">
        <f t="shared" si="45"/>
        <v>169.99999999999994</v>
      </c>
      <c r="W121" s="23">
        <f t="shared" si="46"/>
        <v>8.121778568105185</v>
      </c>
      <c r="X121" s="65"/>
      <c r="Y121" s="66"/>
      <c r="Z121" s="27"/>
      <c r="AA121" s="2"/>
      <c r="AB121" s="11"/>
      <c r="AC121" s="83">
        <v>306.6</v>
      </c>
      <c r="AD121" s="84">
        <v>58.9</v>
      </c>
      <c r="AE121" s="22">
        <f t="shared" si="47"/>
        <v>313.3999999999999</v>
      </c>
      <c r="AF121" s="12">
        <f t="shared" si="48"/>
        <v>223.39999999999992</v>
      </c>
      <c r="AG121" s="12">
        <f t="shared" si="49"/>
        <v>8.121778568105185</v>
      </c>
      <c r="AH121" s="48"/>
      <c r="AI121" s="27"/>
    </row>
    <row r="122" spans="1:39" ht="12.75" customHeight="1">
      <c r="A122" s="89">
        <f>H122/100+63.6</f>
        <v>63.75</v>
      </c>
      <c r="B122" s="90" t="s">
        <v>49</v>
      </c>
      <c r="C122" s="80" t="s">
        <v>53</v>
      </c>
      <c r="D122" s="80">
        <v>8</v>
      </c>
      <c r="E122" s="76" t="s">
        <v>50</v>
      </c>
      <c r="F122" s="77">
        <v>10</v>
      </c>
      <c r="G122" s="78">
        <v>20</v>
      </c>
      <c r="H122" s="1">
        <f t="shared" si="27"/>
        <v>15</v>
      </c>
      <c r="I122" s="79"/>
      <c r="J122" s="55">
        <v>90</v>
      </c>
      <c r="K122" s="60">
        <v>54</v>
      </c>
      <c r="L122" s="60">
        <v>13</v>
      </c>
      <c r="M122" s="60">
        <v>0</v>
      </c>
      <c r="N122" s="60"/>
      <c r="O122" s="61"/>
      <c r="P122" s="38">
        <f aca="true" t="shared" si="52" ref="P122:P153">COS(K122*PI()/180)*SIN(J122*PI()/180)*(SIN((M122)*PI()/180))-(COS((M122)*PI()/180)*SIN(L122*PI()/180))*(SIN(K122*PI()/180))</f>
        <v>-0.18198922586674912</v>
      </c>
      <c r="Q122" s="38">
        <f aca="true" t="shared" si="53" ref="Q122:Q153">(SIN(K122*PI()/180))*(COS((M122)*PI()/180)*COS(L122*PI()/180))-(SIN((M122)*PI()/180))*(COS(K122*PI()/180)*COS(J122*PI()/180))</f>
        <v>0.7882819412214739</v>
      </c>
      <c r="R122" s="38">
        <f aca="true" t="shared" si="54" ref="R122:R153">(COS(K122*PI()/180)*COS(J122*PI()/180))*(COS((M122)*PI()/180)*SIN(L122*PI()/180))-(COS(K122*PI()/180)*SIN(J122*PI()/180))*(COS((M122)*PI()/180)*COS(L122*PI()/180))</f>
        <v>-0.5727203543560229</v>
      </c>
      <c r="S122" s="62">
        <f aca="true" t="shared" si="55" ref="S122:S153">IF(P122=0,IF(Q122&gt;=0,90,270),IF(P122&gt;0,IF(Q122&gt;=0,ATAN(Q122/P122)*180/PI(),ATAN(Q122/P122)*180/PI()+360),ATAN(Q122/P122)*180/PI()+180))</f>
        <v>102.99999999999999</v>
      </c>
      <c r="T122" s="12">
        <f aca="true" t="shared" si="56" ref="T122:T153">ASIN(R122/SQRT(P122^2+Q122^2+R122^2))*180/PI()</f>
        <v>-35.29548968649265</v>
      </c>
      <c r="U122" s="22">
        <f aca="true" t="shared" si="57" ref="U122:U153">IF(R122&lt;0,S122,IF(S122+180&gt;=360,S122-180,S122+180))</f>
        <v>102.99999999999999</v>
      </c>
      <c r="V122" s="12">
        <f aca="true" t="shared" si="58" ref="V122:V153">IF(U122-90&lt;0,U122+270,U122-90)</f>
        <v>12.999999999999986</v>
      </c>
      <c r="W122" s="23">
        <f aca="true" t="shared" si="59" ref="W122:W153">IF(R122&lt;0,90+T122,90-T122)</f>
        <v>54.70451031350735</v>
      </c>
      <c r="X122" s="65"/>
      <c r="Y122" s="66"/>
      <c r="Z122" s="27"/>
      <c r="AA122" s="2"/>
      <c r="AB122" s="11"/>
      <c r="AC122" s="83">
        <v>306.6</v>
      </c>
      <c r="AD122" s="84">
        <v>58.9</v>
      </c>
      <c r="AE122" s="22">
        <f aca="true" t="shared" si="60" ref="AE122:AE153">IF(AD122&gt;=0,IF(U122&gt;=AC122,U122-AC122,U122-AC122+360),IF((U122-AC122-180)&lt;0,IF(U122-AC122+180&lt;0,U122-AC122+540,U122-AC122+180),U122-AC122-180))</f>
        <v>156.39999999999998</v>
      </c>
      <c r="AF122" s="12">
        <f aca="true" t="shared" si="61" ref="AF122:AF153">IF(AE122-90&lt;0,AE122+270,AE122-90)</f>
        <v>66.39999999999998</v>
      </c>
      <c r="AG122" s="12">
        <f aca="true" t="shared" si="62" ref="AG122:AG153">W122</f>
        <v>54.70451031350735</v>
      </c>
      <c r="AH122" s="48"/>
      <c r="AI122" s="27"/>
      <c r="AM122" s="54"/>
    </row>
    <row r="123" spans="1:39" ht="12.75" customHeight="1">
      <c r="A123" s="89">
        <f>H123/100+63.6</f>
        <v>63.82</v>
      </c>
      <c r="B123" s="90" t="s">
        <v>49</v>
      </c>
      <c r="C123" s="80" t="s">
        <v>53</v>
      </c>
      <c r="D123" s="80">
        <v>8</v>
      </c>
      <c r="E123" s="76" t="s">
        <v>50</v>
      </c>
      <c r="F123" s="77">
        <v>19</v>
      </c>
      <c r="G123" s="78">
        <v>25</v>
      </c>
      <c r="H123" s="1">
        <f t="shared" si="27"/>
        <v>22</v>
      </c>
      <c r="I123" s="79"/>
      <c r="J123" s="55">
        <v>90</v>
      </c>
      <c r="K123" s="60">
        <v>49</v>
      </c>
      <c r="L123" s="60">
        <v>359</v>
      </c>
      <c r="M123" s="60">
        <v>0</v>
      </c>
      <c r="N123" s="60"/>
      <c r="O123" s="61"/>
      <c r="P123" s="38">
        <f t="shared" si="52"/>
        <v>0.01317149833616015</v>
      </c>
      <c r="Q123" s="38">
        <f t="shared" si="53"/>
        <v>0.7545946342981862</v>
      </c>
      <c r="R123" s="38">
        <f t="shared" si="54"/>
        <v>-0.6559591080226987</v>
      </c>
      <c r="S123" s="62">
        <f t="shared" si="55"/>
        <v>88.99999999999996</v>
      </c>
      <c r="T123" s="12">
        <f t="shared" si="56"/>
        <v>-40.9956789668607</v>
      </c>
      <c r="U123" s="22">
        <f t="shared" si="57"/>
        <v>88.99999999999996</v>
      </c>
      <c r="V123" s="12">
        <f t="shared" si="58"/>
        <v>358.99999999999994</v>
      </c>
      <c r="W123" s="23">
        <f t="shared" si="59"/>
        <v>49.0043210331393</v>
      </c>
      <c r="X123" s="65"/>
      <c r="Y123" s="66"/>
      <c r="Z123" s="27" t="s">
        <v>51</v>
      </c>
      <c r="AA123" s="2"/>
      <c r="AB123" s="11"/>
      <c r="AC123" s="83">
        <v>306.6</v>
      </c>
      <c r="AD123" s="84">
        <v>58.9</v>
      </c>
      <c r="AE123" s="22">
        <f t="shared" si="60"/>
        <v>142.39999999999992</v>
      </c>
      <c r="AF123" s="12">
        <f t="shared" si="61"/>
        <v>52.39999999999992</v>
      </c>
      <c r="AG123" s="12">
        <f t="shared" si="62"/>
        <v>49.0043210331393</v>
      </c>
      <c r="AH123" s="48"/>
      <c r="AI123" s="27" t="str">
        <f>Z123</f>
        <v>N</v>
      </c>
      <c r="AJ123" t="s">
        <v>60</v>
      </c>
      <c r="AM123" s="54"/>
    </row>
    <row r="124" spans="1:39" ht="12.75" customHeight="1">
      <c r="A124" s="89">
        <f>H124/100+63.6</f>
        <v>64.39</v>
      </c>
      <c r="B124" s="90" t="s">
        <v>49</v>
      </c>
      <c r="C124" s="80" t="s">
        <v>53</v>
      </c>
      <c r="D124" s="80">
        <v>8</v>
      </c>
      <c r="E124" s="76" t="s">
        <v>50</v>
      </c>
      <c r="F124" s="77">
        <v>76</v>
      </c>
      <c r="G124" s="78">
        <v>82</v>
      </c>
      <c r="H124" s="1">
        <f t="shared" si="27"/>
        <v>79</v>
      </c>
      <c r="I124" s="79"/>
      <c r="J124" s="55">
        <v>270</v>
      </c>
      <c r="K124" s="60">
        <v>36</v>
      </c>
      <c r="L124" s="60">
        <v>76</v>
      </c>
      <c r="M124" s="60">
        <v>0</v>
      </c>
      <c r="N124" s="60"/>
      <c r="O124" s="61"/>
      <c r="P124" s="38">
        <f t="shared" si="52"/>
        <v>-0.570325518267445</v>
      </c>
      <c r="Q124" s="38">
        <f t="shared" si="53"/>
        <v>0.14219812244012414</v>
      </c>
      <c r="R124" s="38">
        <f t="shared" si="54"/>
        <v>0.195718924851533</v>
      </c>
      <c r="S124" s="62">
        <f t="shared" si="55"/>
        <v>166</v>
      </c>
      <c r="T124" s="12">
        <f t="shared" si="56"/>
        <v>18.41656814504451</v>
      </c>
      <c r="U124" s="22">
        <f t="shared" si="57"/>
        <v>346</v>
      </c>
      <c r="V124" s="12">
        <f t="shared" si="58"/>
        <v>256</v>
      </c>
      <c r="W124" s="23">
        <f t="shared" si="59"/>
        <v>71.58343185495549</v>
      </c>
      <c r="X124" s="65"/>
      <c r="Y124" s="66"/>
      <c r="Z124" s="27"/>
      <c r="AA124" s="2"/>
      <c r="AB124" s="11"/>
      <c r="AC124" s="83">
        <v>306.6</v>
      </c>
      <c r="AD124" s="84">
        <v>58.9</v>
      </c>
      <c r="AE124" s="22">
        <f t="shared" si="60"/>
        <v>39.39999999999998</v>
      </c>
      <c r="AF124" s="12">
        <f t="shared" si="61"/>
        <v>309.4</v>
      </c>
      <c r="AG124" s="12">
        <f t="shared" si="62"/>
        <v>71.58343185495549</v>
      </c>
      <c r="AH124" s="48"/>
      <c r="AI124" s="27"/>
      <c r="AM124" s="54"/>
    </row>
    <row r="125" spans="1:39" ht="12.75" customHeight="1">
      <c r="A125" s="89">
        <f>H125/100+65</f>
        <v>65.415</v>
      </c>
      <c r="B125" s="90" t="s">
        <v>49</v>
      </c>
      <c r="C125" s="80" t="s">
        <v>61</v>
      </c>
      <c r="D125" s="80">
        <v>1</v>
      </c>
      <c r="E125" s="76" t="s">
        <v>50</v>
      </c>
      <c r="F125" s="77">
        <v>38</v>
      </c>
      <c r="G125" s="78">
        <v>45</v>
      </c>
      <c r="H125" s="1">
        <f t="shared" si="27"/>
        <v>41.5</v>
      </c>
      <c r="I125" s="79"/>
      <c r="J125" s="55">
        <v>90</v>
      </c>
      <c r="K125" s="60">
        <v>30</v>
      </c>
      <c r="L125" s="60">
        <v>311</v>
      </c>
      <c r="M125" s="60">
        <v>0</v>
      </c>
      <c r="N125" s="60"/>
      <c r="O125" s="61"/>
      <c r="P125" s="38">
        <f t="shared" si="52"/>
        <v>0.37735479011138606</v>
      </c>
      <c r="Q125" s="38">
        <f t="shared" si="53"/>
        <v>0.32802951449525347</v>
      </c>
      <c r="R125" s="38">
        <f t="shared" si="54"/>
        <v>-0.5681637854879307</v>
      </c>
      <c r="S125" s="62">
        <f t="shared" si="55"/>
        <v>40.99999999999998</v>
      </c>
      <c r="T125" s="12">
        <f t="shared" si="56"/>
        <v>-48.6513209292424</v>
      </c>
      <c r="U125" s="22">
        <f t="shared" si="57"/>
        <v>40.99999999999998</v>
      </c>
      <c r="V125" s="12">
        <f t="shared" si="58"/>
        <v>311</v>
      </c>
      <c r="W125" s="23">
        <f t="shared" si="59"/>
        <v>41.3486790707576</v>
      </c>
      <c r="X125" s="65"/>
      <c r="Y125" s="66"/>
      <c r="Z125" s="27"/>
      <c r="AA125" s="2"/>
      <c r="AB125" s="11"/>
      <c r="AC125" s="83">
        <v>238.3</v>
      </c>
      <c r="AD125" s="84">
        <v>63.4</v>
      </c>
      <c r="AE125" s="22">
        <f t="shared" si="60"/>
        <v>162.69999999999996</v>
      </c>
      <c r="AF125" s="12">
        <f t="shared" si="61"/>
        <v>72.69999999999996</v>
      </c>
      <c r="AG125" s="12">
        <f t="shared" si="62"/>
        <v>41.3486790707576</v>
      </c>
      <c r="AH125" s="48"/>
      <c r="AI125" s="27"/>
      <c r="AM125" s="54"/>
    </row>
    <row r="126" spans="1:39" ht="12.75" customHeight="1">
      <c r="A126" s="89">
        <f>H126/100+65</f>
        <v>65.755</v>
      </c>
      <c r="B126" s="90" t="s">
        <v>49</v>
      </c>
      <c r="C126" s="80" t="s">
        <v>61</v>
      </c>
      <c r="D126" s="80">
        <v>1</v>
      </c>
      <c r="E126" s="76" t="s">
        <v>50</v>
      </c>
      <c r="F126" s="77">
        <v>70</v>
      </c>
      <c r="G126" s="78">
        <v>81</v>
      </c>
      <c r="H126" s="1">
        <f t="shared" si="27"/>
        <v>75.5</v>
      </c>
      <c r="I126" s="79"/>
      <c r="J126" s="55">
        <v>90</v>
      </c>
      <c r="K126" s="60">
        <v>56</v>
      </c>
      <c r="L126" s="60">
        <v>306</v>
      </c>
      <c r="M126" s="60">
        <v>0</v>
      </c>
      <c r="N126" s="60"/>
      <c r="O126" s="61"/>
      <c r="P126" s="38">
        <f t="shared" si="52"/>
        <v>0.6707054851723824</v>
      </c>
      <c r="Q126" s="38">
        <f t="shared" si="53"/>
        <v>0.4872960587442045</v>
      </c>
      <c r="R126" s="38">
        <f t="shared" si="54"/>
        <v>-0.32868534184671333</v>
      </c>
      <c r="S126" s="62">
        <f t="shared" si="55"/>
        <v>35.999999999999986</v>
      </c>
      <c r="T126" s="12">
        <f t="shared" si="56"/>
        <v>-21.62665035716015</v>
      </c>
      <c r="U126" s="22">
        <f t="shared" si="57"/>
        <v>35.999999999999986</v>
      </c>
      <c r="V126" s="12">
        <f t="shared" si="58"/>
        <v>306</v>
      </c>
      <c r="W126" s="23">
        <f t="shared" si="59"/>
        <v>68.37334964283986</v>
      </c>
      <c r="X126" s="65"/>
      <c r="Y126" s="66"/>
      <c r="Z126" s="27"/>
      <c r="AA126" s="2"/>
      <c r="AB126" s="11"/>
      <c r="AC126" s="83">
        <v>238.3</v>
      </c>
      <c r="AD126" s="84">
        <v>63.4</v>
      </c>
      <c r="AE126" s="22">
        <f t="shared" si="60"/>
        <v>157.7</v>
      </c>
      <c r="AF126" s="12">
        <f t="shared" si="61"/>
        <v>67.69999999999999</v>
      </c>
      <c r="AG126" s="12">
        <f t="shared" si="62"/>
        <v>68.37334964283986</v>
      </c>
      <c r="AH126" s="48"/>
      <c r="AI126" s="27"/>
      <c r="AM126" s="54"/>
    </row>
    <row r="127" spans="1:39" ht="12.75" customHeight="1">
      <c r="A127" s="89">
        <f>H127/100+66.344</f>
        <v>66.59899999999999</v>
      </c>
      <c r="B127" s="90" t="s">
        <v>49</v>
      </c>
      <c r="C127" s="80" t="s">
        <v>61</v>
      </c>
      <c r="D127" s="80">
        <v>2</v>
      </c>
      <c r="E127" s="76" t="s">
        <v>50</v>
      </c>
      <c r="F127" s="77">
        <v>20</v>
      </c>
      <c r="G127" s="78">
        <v>31</v>
      </c>
      <c r="H127" s="1">
        <f t="shared" si="27"/>
        <v>25.5</v>
      </c>
      <c r="I127" s="79"/>
      <c r="J127" s="55">
        <v>90</v>
      </c>
      <c r="K127" s="60">
        <v>63</v>
      </c>
      <c r="L127" s="60">
        <v>75</v>
      </c>
      <c r="M127" s="60">
        <v>0</v>
      </c>
      <c r="N127" s="60"/>
      <c r="O127" s="61"/>
      <c r="P127" s="38">
        <f t="shared" si="52"/>
        <v>-0.8606462131055999</v>
      </c>
      <c r="Q127" s="38">
        <f t="shared" si="53"/>
        <v>0.2306094577705494</v>
      </c>
      <c r="R127" s="38">
        <f t="shared" si="54"/>
        <v>-0.11750138762820567</v>
      </c>
      <c r="S127" s="62">
        <f t="shared" si="55"/>
        <v>165</v>
      </c>
      <c r="T127" s="12">
        <f t="shared" si="56"/>
        <v>-7.512524713455888</v>
      </c>
      <c r="U127" s="22">
        <f t="shared" si="57"/>
        <v>165</v>
      </c>
      <c r="V127" s="12">
        <f t="shared" si="58"/>
        <v>75</v>
      </c>
      <c r="W127" s="23">
        <f t="shared" si="59"/>
        <v>82.48747528654411</v>
      </c>
      <c r="X127" s="65"/>
      <c r="Y127" s="66"/>
      <c r="Z127" s="27"/>
      <c r="AA127" s="2"/>
      <c r="AB127" s="11"/>
      <c r="AC127" s="83">
        <v>238.3</v>
      </c>
      <c r="AD127" s="84">
        <v>63.4</v>
      </c>
      <c r="AE127" s="22">
        <f t="shared" si="60"/>
        <v>286.7</v>
      </c>
      <c r="AF127" s="12">
        <f t="shared" si="61"/>
        <v>196.7</v>
      </c>
      <c r="AG127" s="12">
        <f t="shared" si="62"/>
        <v>82.48747528654411</v>
      </c>
      <c r="AH127" s="48"/>
      <c r="AI127" s="27"/>
      <c r="AM127" s="54"/>
    </row>
    <row r="128" spans="1:35" ht="12.75" customHeight="1">
      <c r="A128" s="89">
        <f>H128/100+66.344</f>
        <v>67.189</v>
      </c>
      <c r="B128" s="90" t="s">
        <v>49</v>
      </c>
      <c r="C128" s="80" t="s">
        <v>61</v>
      </c>
      <c r="D128" s="80">
        <v>2</v>
      </c>
      <c r="E128" s="76" t="s">
        <v>44</v>
      </c>
      <c r="F128" s="77">
        <v>83</v>
      </c>
      <c r="G128" s="78">
        <v>86</v>
      </c>
      <c r="H128" s="1">
        <f t="shared" si="27"/>
        <v>84.5</v>
      </c>
      <c r="I128" s="79"/>
      <c r="J128" s="55">
        <v>270</v>
      </c>
      <c r="K128" s="60">
        <v>30</v>
      </c>
      <c r="L128" s="60">
        <v>301</v>
      </c>
      <c r="M128" s="60">
        <v>0</v>
      </c>
      <c r="N128" s="60"/>
      <c r="O128" s="61"/>
      <c r="P128" s="38">
        <f t="shared" si="52"/>
        <v>0.4285836503510561</v>
      </c>
      <c r="Q128" s="38">
        <f t="shared" si="53"/>
        <v>0.257519037455027</v>
      </c>
      <c r="R128" s="38">
        <f t="shared" si="54"/>
        <v>0.44603605678833974</v>
      </c>
      <c r="S128" s="62">
        <f t="shared" si="55"/>
        <v>30.999999999999993</v>
      </c>
      <c r="T128" s="12">
        <f t="shared" si="56"/>
        <v>41.735262666325454</v>
      </c>
      <c r="U128" s="22">
        <f t="shared" si="57"/>
        <v>211</v>
      </c>
      <c r="V128" s="12">
        <f t="shared" si="58"/>
        <v>121</v>
      </c>
      <c r="W128" s="23">
        <f t="shared" si="59"/>
        <v>48.264737333674546</v>
      </c>
      <c r="X128" s="65"/>
      <c r="Y128" s="66"/>
      <c r="Z128" s="27"/>
      <c r="AA128" s="2"/>
      <c r="AB128" s="11"/>
      <c r="AC128" s="83">
        <v>238.3</v>
      </c>
      <c r="AD128" s="84">
        <v>63.4</v>
      </c>
      <c r="AE128" s="22">
        <f t="shared" si="60"/>
        <v>332.7</v>
      </c>
      <c r="AF128" s="12">
        <f t="shared" si="61"/>
        <v>242.7</v>
      </c>
      <c r="AG128" s="12">
        <f t="shared" si="62"/>
        <v>48.264737333674546</v>
      </c>
      <c r="AH128" s="48"/>
      <c r="AI128" s="27"/>
    </row>
    <row r="129" spans="1:35" ht="12.75" customHeight="1">
      <c r="A129" s="89">
        <f>H129/100+67.679</f>
        <v>68.544</v>
      </c>
      <c r="B129" s="90" t="s">
        <v>49</v>
      </c>
      <c r="C129" s="80" t="s">
        <v>61</v>
      </c>
      <c r="D129" s="80">
        <v>3</v>
      </c>
      <c r="E129" s="76" t="s">
        <v>44</v>
      </c>
      <c r="F129" s="77">
        <v>86</v>
      </c>
      <c r="G129" s="78">
        <v>87</v>
      </c>
      <c r="H129" s="1">
        <f t="shared" si="27"/>
        <v>86.5</v>
      </c>
      <c r="I129" s="79"/>
      <c r="J129" s="55">
        <v>270</v>
      </c>
      <c r="K129" s="60">
        <v>12</v>
      </c>
      <c r="L129" s="60">
        <v>337</v>
      </c>
      <c r="M129" s="60">
        <v>0</v>
      </c>
      <c r="N129" s="60"/>
      <c r="O129" s="61"/>
      <c r="P129" s="38">
        <f t="shared" si="52"/>
        <v>0.08123756957933627</v>
      </c>
      <c r="Q129" s="38">
        <f t="shared" si="53"/>
        <v>0.19138372048725055</v>
      </c>
      <c r="R129" s="38">
        <f t="shared" si="54"/>
        <v>0.9003896138683276</v>
      </c>
      <c r="S129" s="62">
        <f t="shared" si="55"/>
        <v>66.99999999999994</v>
      </c>
      <c r="T129" s="12">
        <f t="shared" si="56"/>
        <v>76.99756113606469</v>
      </c>
      <c r="U129" s="22">
        <f t="shared" si="57"/>
        <v>246.99999999999994</v>
      </c>
      <c r="V129" s="12">
        <f t="shared" si="58"/>
        <v>156.99999999999994</v>
      </c>
      <c r="W129" s="23">
        <f t="shared" si="59"/>
        <v>13.00243886393531</v>
      </c>
      <c r="X129" s="65"/>
      <c r="Y129" s="66"/>
      <c r="Z129" s="27"/>
      <c r="AA129" s="2"/>
      <c r="AB129" s="1"/>
      <c r="AC129" s="83">
        <v>238.3</v>
      </c>
      <c r="AD129" s="84">
        <v>63.4</v>
      </c>
      <c r="AE129" s="22">
        <f t="shared" si="60"/>
        <v>8.699999999999932</v>
      </c>
      <c r="AF129" s="12">
        <f t="shared" si="61"/>
        <v>278.69999999999993</v>
      </c>
      <c r="AG129" s="12">
        <f t="shared" si="62"/>
        <v>13.00243886393531</v>
      </c>
      <c r="AH129" s="48"/>
      <c r="AI129" s="27"/>
    </row>
    <row r="130" spans="1:39" ht="12.75" customHeight="1">
      <c r="A130" s="89">
        <f>H130/100+69.023</f>
        <v>69.478</v>
      </c>
      <c r="B130" s="90" t="s">
        <v>49</v>
      </c>
      <c r="C130" s="80" t="s">
        <v>61</v>
      </c>
      <c r="D130" s="80">
        <v>5</v>
      </c>
      <c r="E130" s="76" t="s">
        <v>50</v>
      </c>
      <c r="F130" s="77">
        <v>43</v>
      </c>
      <c r="G130" s="78">
        <v>48</v>
      </c>
      <c r="H130" s="1">
        <f t="shared" si="27"/>
        <v>45.5</v>
      </c>
      <c r="I130" s="79"/>
      <c r="J130" s="55">
        <v>90</v>
      </c>
      <c r="K130" s="60">
        <v>31</v>
      </c>
      <c r="L130" s="60">
        <v>36</v>
      </c>
      <c r="M130" s="60">
        <v>0</v>
      </c>
      <c r="N130" s="60"/>
      <c r="O130" s="61"/>
      <c r="P130" s="38">
        <f t="shared" si="52"/>
        <v>-0.30273178480123586</v>
      </c>
      <c r="Q130" s="38">
        <f t="shared" si="53"/>
        <v>0.41667455535239106</v>
      </c>
      <c r="R130" s="38">
        <f t="shared" si="54"/>
        <v>-0.6934629132905097</v>
      </c>
      <c r="S130" s="62">
        <f t="shared" si="55"/>
        <v>126</v>
      </c>
      <c r="T130" s="12">
        <f t="shared" si="56"/>
        <v>-53.39855877767609</v>
      </c>
      <c r="U130" s="22">
        <f t="shared" si="57"/>
        <v>126</v>
      </c>
      <c r="V130" s="12">
        <f t="shared" si="58"/>
        <v>36</v>
      </c>
      <c r="W130" s="23">
        <f t="shared" si="59"/>
        <v>36.60144122232391</v>
      </c>
      <c r="X130" s="65"/>
      <c r="Y130" s="66"/>
      <c r="Z130" s="27"/>
      <c r="AA130" s="2"/>
      <c r="AB130" s="1"/>
      <c r="AC130" s="83">
        <v>238.3</v>
      </c>
      <c r="AD130" s="84">
        <v>63.4</v>
      </c>
      <c r="AE130" s="22">
        <f t="shared" si="60"/>
        <v>247.7</v>
      </c>
      <c r="AF130" s="12">
        <f t="shared" si="61"/>
        <v>157.7</v>
      </c>
      <c r="AG130" s="12">
        <f t="shared" si="62"/>
        <v>36.60144122232391</v>
      </c>
      <c r="AH130" s="48"/>
      <c r="AI130" s="27"/>
      <c r="AM130" s="54"/>
    </row>
    <row r="131" spans="1:39" ht="12.75" customHeight="1">
      <c r="A131" s="89">
        <f>H131/100+70.363</f>
        <v>70.703</v>
      </c>
      <c r="B131" s="90" t="s">
        <v>49</v>
      </c>
      <c r="C131" s="80" t="s">
        <v>61</v>
      </c>
      <c r="D131" s="80">
        <v>6</v>
      </c>
      <c r="E131" s="76" t="s">
        <v>50</v>
      </c>
      <c r="F131" s="77">
        <v>31</v>
      </c>
      <c r="G131" s="78">
        <v>37</v>
      </c>
      <c r="H131" s="1">
        <f aca="true" t="shared" si="63" ref="H131:H194">(F131+G131)/2</f>
        <v>34</v>
      </c>
      <c r="I131" s="79"/>
      <c r="J131" s="55">
        <v>270</v>
      </c>
      <c r="K131" s="60">
        <v>33</v>
      </c>
      <c r="L131" s="60">
        <v>57</v>
      </c>
      <c r="M131" s="60">
        <v>0</v>
      </c>
      <c r="N131" s="60"/>
      <c r="O131" s="61"/>
      <c r="P131" s="38">
        <f t="shared" si="52"/>
        <v>-0.4567727288213004</v>
      </c>
      <c r="Q131" s="38">
        <f t="shared" si="53"/>
        <v>0.2966316784621</v>
      </c>
      <c r="R131" s="38">
        <f t="shared" si="54"/>
        <v>0.45677272882130043</v>
      </c>
      <c r="S131" s="62">
        <f t="shared" si="55"/>
        <v>147</v>
      </c>
      <c r="T131" s="12">
        <f t="shared" si="56"/>
        <v>39.98557075458055</v>
      </c>
      <c r="U131" s="22">
        <f t="shared" si="57"/>
        <v>327</v>
      </c>
      <c r="V131" s="12">
        <f t="shared" si="58"/>
        <v>237</v>
      </c>
      <c r="W131" s="23">
        <f t="shared" si="59"/>
        <v>50.01442924541945</v>
      </c>
      <c r="X131" s="65"/>
      <c r="Y131" s="66"/>
      <c r="Z131" s="27"/>
      <c r="AA131" s="55"/>
      <c r="AB131" s="58"/>
      <c r="AC131" s="83">
        <v>238.3</v>
      </c>
      <c r="AD131" s="84">
        <v>63.4</v>
      </c>
      <c r="AE131" s="22">
        <f t="shared" si="60"/>
        <v>88.69999999999999</v>
      </c>
      <c r="AF131" s="12">
        <f t="shared" si="61"/>
        <v>358.7</v>
      </c>
      <c r="AG131" s="12">
        <f t="shared" si="62"/>
        <v>50.01442924541945</v>
      </c>
      <c r="AH131" s="48"/>
      <c r="AI131" s="27"/>
      <c r="AM131" s="54"/>
    </row>
    <row r="132" spans="1:39" ht="12.75" customHeight="1">
      <c r="A132" s="89">
        <f>H132/100+70.363</f>
        <v>71.063</v>
      </c>
      <c r="B132" s="90" t="s">
        <v>49</v>
      </c>
      <c r="C132" s="80" t="s">
        <v>61</v>
      </c>
      <c r="D132" s="80">
        <v>6</v>
      </c>
      <c r="E132" s="76" t="s">
        <v>50</v>
      </c>
      <c r="F132" s="77">
        <v>67</v>
      </c>
      <c r="G132" s="78">
        <v>73</v>
      </c>
      <c r="H132" s="1">
        <f t="shared" si="63"/>
        <v>70</v>
      </c>
      <c r="I132" s="79"/>
      <c r="J132" s="55">
        <v>270</v>
      </c>
      <c r="K132" s="60">
        <v>45</v>
      </c>
      <c r="L132" s="60">
        <v>351</v>
      </c>
      <c r="M132" s="60">
        <v>0</v>
      </c>
      <c r="N132" s="60"/>
      <c r="O132" s="61"/>
      <c r="P132" s="38">
        <f t="shared" si="52"/>
        <v>0.11061587104123731</v>
      </c>
      <c r="Q132" s="38">
        <f t="shared" si="53"/>
        <v>0.6984011233337102</v>
      </c>
      <c r="R132" s="38">
        <f t="shared" si="54"/>
        <v>0.6984011233337103</v>
      </c>
      <c r="S132" s="62">
        <f t="shared" si="55"/>
        <v>80.99999999999999</v>
      </c>
      <c r="T132" s="12">
        <f t="shared" si="56"/>
        <v>44.64511684880145</v>
      </c>
      <c r="U132" s="22">
        <f t="shared" si="57"/>
        <v>261</v>
      </c>
      <c r="V132" s="12">
        <f t="shared" si="58"/>
        <v>171</v>
      </c>
      <c r="W132" s="23">
        <f t="shared" si="59"/>
        <v>45.35488315119855</v>
      </c>
      <c r="X132" s="65"/>
      <c r="Y132" s="66"/>
      <c r="Z132" s="27"/>
      <c r="AA132" s="55"/>
      <c r="AB132" s="58"/>
      <c r="AC132" s="83">
        <v>238.3</v>
      </c>
      <c r="AD132" s="84">
        <v>63.4</v>
      </c>
      <c r="AE132" s="22">
        <f t="shared" si="60"/>
        <v>22.69999999999999</v>
      </c>
      <c r="AF132" s="12">
        <f t="shared" si="61"/>
        <v>292.7</v>
      </c>
      <c r="AG132" s="12">
        <f t="shared" si="62"/>
        <v>45.35488315119855</v>
      </c>
      <c r="AH132" s="48"/>
      <c r="AI132" s="27"/>
      <c r="AM132" s="54"/>
    </row>
    <row r="133" spans="1:39" ht="12.75" customHeight="1">
      <c r="A133" s="89">
        <f>H133/100+71.707</f>
        <v>72.002</v>
      </c>
      <c r="B133" s="90" t="s">
        <v>49</v>
      </c>
      <c r="C133" s="80" t="s">
        <v>61</v>
      </c>
      <c r="D133" s="80">
        <v>7</v>
      </c>
      <c r="E133" s="76" t="s">
        <v>50</v>
      </c>
      <c r="F133" s="77">
        <v>28</v>
      </c>
      <c r="G133" s="78">
        <v>31</v>
      </c>
      <c r="H133" s="1">
        <f t="shared" si="63"/>
        <v>29.5</v>
      </c>
      <c r="I133" s="79"/>
      <c r="J133" s="55">
        <v>270</v>
      </c>
      <c r="K133" s="60">
        <v>20</v>
      </c>
      <c r="L133" s="60">
        <v>53</v>
      </c>
      <c r="M133" s="60">
        <v>0</v>
      </c>
      <c r="N133" s="60"/>
      <c r="O133" s="61"/>
      <c r="P133" s="38">
        <f t="shared" si="52"/>
        <v>-0.27314943161134364</v>
      </c>
      <c r="Q133" s="38">
        <f t="shared" si="53"/>
        <v>0.20583286047400423</v>
      </c>
      <c r="R133" s="38">
        <f t="shared" si="54"/>
        <v>0.5655211363340804</v>
      </c>
      <c r="S133" s="62">
        <f t="shared" si="55"/>
        <v>143</v>
      </c>
      <c r="T133" s="12">
        <f t="shared" si="56"/>
        <v>58.8349734616359</v>
      </c>
      <c r="U133" s="22">
        <f t="shared" si="57"/>
        <v>323</v>
      </c>
      <c r="V133" s="12">
        <f t="shared" si="58"/>
        <v>233</v>
      </c>
      <c r="W133" s="23">
        <f t="shared" si="59"/>
        <v>31.165026538364103</v>
      </c>
      <c r="X133" s="65"/>
      <c r="Y133" s="66"/>
      <c r="Z133" s="27"/>
      <c r="AA133" s="55"/>
      <c r="AB133" s="58"/>
      <c r="AC133" s="83">
        <v>238.3</v>
      </c>
      <c r="AD133" s="84">
        <v>63.4</v>
      </c>
      <c r="AE133" s="22">
        <f t="shared" si="60"/>
        <v>84.69999999999999</v>
      </c>
      <c r="AF133" s="12">
        <f t="shared" si="61"/>
        <v>354.7</v>
      </c>
      <c r="AG133" s="12">
        <f t="shared" si="62"/>
        <v>31.165026538364103</v>
      </c>
      <c r="AH133" s="48"/>
      <c r="AI133" s="27"/>
      <c r="AM133" s="54"/>
    </row>
    <row r="134" spans="1:35" s="54" customFormat="1" ht="12.75" customHeight="1">
      <c r="A134" s="89">
        <f>H134/100+73.056</f>
        <v>73.596</v>
      </c>
      <c r="B134" s="90" t="s">
        <v>49</v>
      </c>
      <c r="C134" s="80" t="s">
        <v>61</v>
      </c>
      <c r="D134" s="80">
        <v>8</v>
      </c>
      <c r="E134" s="2" t="s">
        <v>148</v>
      </c>
      <c r="F134" s="77">
        <v>47</v>
      </c>
      <c r="G134" s="78">
        <v>61</v>
      </c>
      <c r="H134" s="1">
        <f t="shared" si="63"/>
        <v>54</v>
      </c>
      <c r="I134" s="79"/>
      <c r="J134" s="55">
        <v>90</v>
      </c>
      <c r="K134" s="60">
        <v>80</v>
      </c>
      <c r="L134" s="60">
        <v>340</v>
      </c>
      <c r="M134" s="60">
        <v>0</v>
      </c>
      <c r="N134" s="60"/>
      <c r="O134" s="61"/>
      <c r="P134" s="38">
        <f t="shared" si="52"/>
        <v>0.33682408883346504</v>
      </c>
      <c r="Q134" s="38">
        <f t="shared" si="53"/>
        <v>0.9254165783983234</v>
      </c>
      <c r="R134" s="38">
        <f t="shared" si="54"/>
        <v>-0.1631759111665349</v>
      </c>
      <c r="S134" s="62">
        <f t="shared" si="55"/>
        <v>70</v>
      </c>
      <c r="T134" s="12">
        <f t="shared" si="56"/>
        <v>-9.408043486834694</v>
      </c>
      <c r="U134" s="22">
        <f t="shared" si="57"/>
        <v>70</v>
      </c>
      <c r="V134" s="12">
        <f t="shared" si="58"/>
        <v>340</v>
      </c>
      <c r="W134" s="23">
        <f t="shared" si="59"/>
        <v>80.5919565131653</v>
      </c>
      <c r="X134" s="65"/>
      <c r="Y134" s="66"/>
      <c r="Z134" s="67"/>
      <c r="AA134" s="55"/>
      <c r="AB134" s="58"/>
      <c r="AC134" s="83">
        <v>238.3</v>
      </c>
      <c r="AD134" s="84">
        <v>63.4</v>
      </c>
      <c r="AE134" s="22">
        <f t="shared" si="60"/>
        <v>191.7</v>
      </c>
      <c r="AF134" s="12">
        <f t="shared" si="61"/>
        <v>101.69999999999999</v>
      </c>
      <c r="AG134" s="12">
        <f t="shared" si="62"/>
        <v>80.5919565131653</v>
      </c>
      <c r="AH134" s="48"/>
      <c r="AI134" s="27"/>
    </row>
    <row r="135" spans="1:39" s="54" customFormat="1" ht="12.75" customHeight="1">
      <c r="A135" s="89">
        <f>H135/100+75.153</f>
        <v>75.17800000000001</v>
      </c>
      <c r="B135" s="90" t="s">
        <v>49</v>
      </c>
      <c r="C135" s="80" t="s">
        <v>68</v>
      </c>
      <c r="D135" s="80">
        <v>2</v>
      </c>
      <c r="E135" s="76" t="s">
        <v>44</v>
      </c>
      <c r="F135" s="77">
        <v>2</v>
      </c>
      <c r="G135" s="78">
        <v>3</v>
      </c>
      <c r="H135" s="11">
        <f t="shared" si="63"/>
        <v>2.5</v>
      </c>
      <c r="I135" s="79"/>
      <c r="J135" s="55">
        <v>90</v>
      </c>
      <c r="K135" s="60">
        <v>11</v>
      </c>
      <c r="L135" s="60">
        <v>180</v>
      </c>
      <c r="M135" s="60">
        <v>4</v>
      </c>
      <c r="N135" s="60"/>
      <c r="O135" s="61"/>
      <c r="P135" s="38">
        <f t="shared" si="52"/>
        <v>0.06847485084868661</v>
      </c>
      <c r="Q135" s="38">
        <f t="shared" si="53"/>
        <v>-0.19034419425383411</v>
      </c>
      <c r="R135" s="38">
        <f t="shared" si="54"/>
        <v>0.9792359889651951</v>
      </c>
      <c r="S135" s="62">
        <f t="shared" si="55"/>
        <v>289.7858022062952</v>
      </c>
      <c r="T135" s="12">
        <f t="shared" si="56"/>
        <v>78.32826825083079</v>
      </c>
      <c r="U135" s="22">
        <f t="shared" si="57"/>
        <v>109.78580220629522</v>
      </c>
      <c r="V135" s="12">
        <f t="shared" si="58"/>
        <v>19.785802206295216</v>
      </c>
      <c r="W135" s="23">
        <f t="shared" si="59"/>
        <v>11.671731749169211</v>
      </c>
      <c r="X135" s="65"/>
      <c r="Y135" s="66"/>
      <c r="Z135" s="67"/>
      <c r="AA135" s="55"/>
      <c r="AB135" s="58"/>
      <c r="AC135" s="83">
        <v>82.2</v>
      </c>
      <c r="AD135" s="84">
        <v>66.7</v>
      </c>
      <c r="AE135" s="22">
        <f t="shared" si="60"/>
        <v>27.585802206295213</v>
      </c>
      <c r="AF135" s="12">
        <f t="shared" si="61"/>
        <v>297.5858022062952</v>
      </c>
      <c r="AG135" s="12">
        <f t="shared" si="62"/>
        <v>11.671731749169211</v>
      </c>
      <c r="AH135" s="48"/>
      <c r="AI135" s="27"/>
      <c r="AM135"/>
    </row>
    <row r="136" spans="1:38" s="54" customFormat="1" ht="12.75" customHeight="1">
      <c r="A136" s="89">
        <f>H136/100+74.5</f>
        <v>75.4</v>
      </c>
      <c r="B136" s="90" t="s">
        <v>49</v>
      </c>
      <c r="C136" s="80" t="s">
        <v>68</v>
      </c>
      <c r="D136" s="80">
        <v>1</v>
      </c>
      <c r="E136" s="76" t="s">
        <v>50</v>
      </c>
      <c r="F136" s="77">
        <v>87</v>
      </c>
      <c r="G136" s="78">
        <v>93</v>
      </c>
      <c r="H136" s="11">
        <f t="shared" si="63"/>
        <v>90</v>
      </c>
      <c r="I136" s="79"/>
      <c r="J136" s="55">
        <v>90</v>
      </c>
      <c r="K136" s="60">
        <v>45</v>
      </c>
      <c r="L136" s="60">
        <v>345</v>
      </c>
      <c r="M136" s="60">
        <v>0</v>
      </c>
      <c r="N136" s="60"/>
      <c r="O136" s="61"/>
      <c r="P136" s="38">
        <f t="shared" si="52"/>
        <v>0.18301270189221924</v>
      </c>
      <c r="Q136" s="38">
        <f t="shared" si="53"/>
        <v>0.6830127018922193</v>
      </c>
      <c r="R136" s="38">
        <f t="shared" si="54"/>
        <v>-0.6830127018922194</v>
      </c>
      <c r="S136" s="62">
        <f t="shared" si="55"/>
        <v>75.00000000000001</v>
      </c>
      <c r="T136" s="12">
        <f t="shared" si="56"/>
        <v>-44.007027195636304</v>
      </c>
      <c r="U136" s="22">
        <f t="shared" si="57"/>
        <v>75.00000000000001</v>
      </c>
      <c r="V136" s="12">
        <f t="shared" si="58"/>
        <v>345</v>
      </c>
      <c r="W136" s="23">
        <f t="shared" si="59"/>
        <v>45.992972804363696</v>
      </c>
      <c r="X136" s="65"/>
      <c r="Y136" s="66"/>
      <c r="Z136" s="67"/>
      <c r="AA136" s="55"/>
      <c r="AB136" s="58"/>
      <c r="AC136" s="83">
        <v>82.2</v>
      </c>
      <c r="AD136" s="84">
        <v>66.7</v>
      </c>
      <c r="AE136" s="22">
        <f t="shared" si="60"/>
        <v>352.8</v>
      </c>
      <c r="AF136" s="12">
        <f t="shared" si="61"/>
        <v>262.8</v>
      </c>
      <c r="AG136" s="12">
        <f t="shared" si="62"/>
        <v>45.992972804363696</v>
      </c>
      <c r="AH136" s="48"/>
      <c r="AI136" s="27"/>
      <c r="AL136"/>
    </row>
    <row r="137" spans="1:38" s="54" customFormat="1" ht="12.75" customHeight="1">
      <c r="A137" s="89">
        <f>H137/100+74.5</f>
        <v>75.42</v>
      </c>
      <c r="B137" s="90" t="s">
        <v>49</v>
      </c>
      <c r="C137" s="80" t="s">
        <v>68</v>
      </c>
      <c r="D137" s="80">
        <v>1</v>
      </c>
      <c r="E137" s="76" t="s">
        <v>50</v>
      </c>
      <c r="F137" s="77">
        <v>88</v>
      </c>
      <c r="G137" s="78">
        <v>96</v>
      </c>
      <c r="H137" s="11">
        <f t="shared" si="63"/>
        <v>92</v>
      </c>
      <c r="I137" s="79"/>
      <c r="J137" s="55">
        <v>90</v>
      </c>
      <c r="K137" s="60">
        <v>50</v>
      </c>
      <c r="L137" s="60">
        <v>345</v>
      </c>
      <c r="M137" s="60">
        <v>0</v>
      </c>
      <c r="N137" s="60"/>
      <c r="O137" s="61"/>
      <c r="P137" s="38">
        <f t="shared" si="52"/>
        <v>0.19826689127414612</v>
      </c>
      <c r="Q137" s="38">
        <f t="shared" si="53"/>
        <v>0.739942111693848</v>
      </c>
      <c r="R137" s="38">
        <f t="shared" si="54"/>
        <v>-0.6208851530148457</v>
      </c>
      <c r="S137" s="62">
        <f t="shared" si="55"/>
        <v>75.00000000000001</v>
      </c>
      <c r="T137" s="12">
        <f t="shared" si="56"/>
        <v>-39.02504352461164</v>
      </c>
      <c r="U137" s="22">
        <f t="shared" si="57"/>
        <v>75.00000000000001</v>
      </c>
      <c r="V137" s="12">
        <f t="shared" si="58"/>
        <v>345</v>
      </c>
      <c r="W137" s="23">
        <f t="shared" si="59"/>
        <v>50.97495647538836</v>
      </c>
      <c r="X137" s="65"/>
      <c r="Y137" s="66"/>
      <c r="Z137" s="67"/>
      <c r="AA137" s="55"/>
      <c r="AB137" s="58"/>
      <c r="AC137" s="83">
        <v>82.2</v>
      </c>
      <c r="AD137" s="84">
        <v>66.7</v>
      </c>
      <c r="AE137" s="22">
        <f t="shared" si="60"/>
        <v>352.8</v>
      </c>
      <c r="AF137" s="12">
        <f t="shared" si="61"/>
        <v>262.8</v>
      </c>
      <c r="AG137" s="12">
        <f t="shared" si="62"/>
        <v>50.97495647538836</v>
      </c>
      <c r="AH137" s="48"/>
      <c r="AI137" s="27"/>
      <c r="AL137"/>
    </row>
    <row r="138" spans="1:38" s="54" customFormat="1" ht="12.75" customHeight="1">
      <c r="A138" s="89">
        <f>H138/100+75.153</f>
        <v>75.558</v>
      </c>
      <c r="B138" s="90" t="s">
        <v>49</v>
      </c>
      <c r="C138" s="80" t="s">
        <v>68</v>
      </c>
      <c r="D138" s="80">
        <v>2</v>
      </c>
      <c r="E138" s="76" t="s">
        <v>50</v>
      </c>
      <c r="F138" s="77">
        <v>37</v>
      </c>
      <c r="G138" s="78">
        <v>44</v>
      </c>
      <c r="H138" s="11">
        <f t="shared" si="63"/>
        <v>40.5</v>
      </c>
      <c r="I138" s="79"/>
      <c r="J138" s="55">
        <v>90</v>
      </c>
      <c r="K138" s="60">
        <v>50</v>
      </c>
      <c r="L138" s="60">
        <v>180</v>
      </c>
      <c r="M138" s="60">
        <v>46</v>
      </c>
      <c r="N138" s="60"/>
      <c r="O138" s="61"/>
      <c r="P138" s="38">
        <f t="shared" si="52"/>
        <v>0.46238271081207394</v>
      </c>
      <c r="Q138" s="38">
        <f t="shared" si="53"/>
        <v>-0.5321391845561994</v>
      </c>
      <c r="R138" s="38">
        <f t="shared" si="54"/>
        <v>0.44651779349608545</v>
      </c>
      <c r="S138" s="62">
        <f t="shared" si="55"/>
        <v>310.98780425196065</v>
      </c>
      <c r="T138" s="12">
        <f t="shared" si="56"/>
        <v>32.349911727422516</v>
      </c>
      <c r="U138" s="22">
        <f t="shared" si="57"/>
        <v>130.98780425196065</v>
      </c>
      <c r="V138" s="12">
        <f t="shared" si="58"/>
        <v>40.987804251960654</v>
      </c>
      <c r="W138" s="23">
        <f t="shared" si="59"/>
        <v>57.650088272577484</v>
      </c>
      <c r="X138" s="65"/>
      <c r="Y138" s="66"/>
      <c r="Z138" s="67"/>
      <c r="AA138" s="55"/>
      <c r="AB138" s="58"/>
      <c r="AC138" s="83">
        <v>82.2</v>
      </c>
      <c r="AD138" s="84">
        <v>66.7</v>
      </c>
      <c r="AE138" s="22">
        <f t="shared" si="60"/>
        <v>48.78780425196065</v>
      </c>
      <c r="AF138" s="12">
        <f t="shared" si="61"/>
        <v>318.78780425196067</v>
      </c>
      <c r="AG138" s="12">
        <f t="shared" si="62"/>
        <v>57.650088272577484</v>
      </c>
      <c r="AH138" s="48"/>
      <c r="AI138" s="27"/>
      <c r="AL138"/>
    </row>
    <row r="139" spans="1:38" s="54" customFormat="1" ht="12.75" customHeight="1">
      <c r="A139" s="89">
        <f>H139/100+75.153</f>
        <v>76.02300000000001</v>
      </c>
      <c r="B139" s="90" t="s">
        <v>49</v>
      </c>
      <c r="C139" s="80" t="s">
        <v>68</v>
      </c>
      <c r="D139" s="80">
        <v>2</v>
      </c>
      <c r="E139" s="76" t="s">
        <v>50</v>
      </c>
      <c r="F139" s="77">
        <v>84</v>
      </c>
      <c r="G139" s="78">
        <v>90</v>
      </c>
      <c r="H139" s="11">
        <f t="shared" si="63"/>
        <v>87</v>
      </c>
      <c r="I139" s="79"/>
      <c r="J139" s="55">
        <v>90</v>
      </c>
      <c r="K139" s="60">
        <v>40</v>
      </c>
      <c r="L139" s="60">
        <v>180</v>
      </c>
      <c r="M139" s="60">
        <v>36</v>
      </c>
      <c r="N139" s="60"/>
      <c r="O139" s="61"/>
      <c r="P139" s="38">
        <f t="shared" si="52"/>
        <v>0.45026962626593553</v>
      </c>
      <c r="Q139" s="38">
        <f t="shared" si="53"/>
        <v>-0.5200261000100609</v>
      </c>
      <c r="R139" s="38">
        <f t="shared" si="54"/>
        <v>0.619742972929746</v>
      </c>
      <c r="S139" s="62">
        <f t="shared" si="55"/>
        <v>310.8879679381267</v>
      </c>
      <c r="T139" s="12">
        <f t="shared" si="56"/>
        <v>42.01742650173117</v>
      </c>
      <c r="U139" s="22">
        <f t="shared" si="57"/>
        <v>130.88796793812668</v>
      </c>
      <c r="V139" s="12">
        <f t="shared" si="58"/>
        <v>40.88796793812668</v>
      </c>
      <c r="W139" s="23">
        <f t="shared" si="59"/>
        <v>47.98257349826883</v>
      </c>
      <c r="X139" s="65"/>
      <c r="Y139" s="66"/>
      <c r="Z139" s="67"/>
      <c r="AA139" s="55"/>
      <c r="AB139" s="58"/>
      <c r="AC139" s="83">
        <v>82.2</v>
      </c>
      <c r="AD139" s="84">
        <v>66.7</v>
      </c>
      <c r="AE139" s="22">
        <f t="shared" si="60"/>
        <v>48.687967938126675</v>
      </c>
      <c r="AF139" s="12">
        <f t="shared" si="61"/>
        <v>318.6879679381267</v>
      </c>
      <c r="AG139" s="12">
        <f t="shared" si="62"/>
        <v>47.98257349826883</v>
      </c>
      <c r="AH139" s="48"/>
      <c r="AI139" s="27"/>
      <c r="AL139"/>
    </row>
    <row r="140" spans="1:39" s="54" customFormat="1" ht="12.75" customHeight="1">
      <c r="A140" s="89">
        <f>H140/100+75.153</f>
        <v>76.043</v>
      </c>
      <c r="B140" s="90" t="s">
        <v>49</v>
      </c>
      <c r="C140" s="80" t="s">
        <v>68</v>
      </c>
      <c r="D140" s="80">
        <v>2</v>
      </c>
      <c r="E140" s="76" t="s">
        <v>44</v>
      </c>
      <c r="F140" s="77">
        <v>88</v>
      </c>
      <c r="G140" s="78">
        <v>90</v>
      </c>
      <c r="H140" s="11">
        <f t="shared" si="63"/>
        <v>89</v>
      </c>
      <c r="I140" s="79"/>
      <c r="J140" s="55">
        <v>90</v>
      </c>
      <c r="K140" s="60">
        <v>12</v>
      </c>
      <c r="L140" s="60">
        <v>0</v>
      </c>
      <c r="M140" s="60">
        <v>0</v>
      </c>
      <c r="N140" s="60"/>
      <c r="O140" s="61"/>
      <c r="P140" s="38">
        <f t="shared" si="52"/>
        <v>0</v>
      </c>
      <c r="Q140" s="38">
        <f t="shared" si="53"/>
        <v>0.20791169081775931</v>
      </c>
      <c r="R140" s="38">
        <f t="shared" si="54"/>
        <v>-0.9781476007338057</v>
      </c>
      <c r="S140" s="62">
        <f t="shared" si="55"/>
        <v>90</v>
      </c>
      <c r="T140" s="12">
        <f t="shared" si="56"/>
        <v>-78.00000000000003</v>
      </c>
      <c r="U140" s="22">
        <f t="shared" si="57"/>
        <v>90</v>
      </c>
      <c r="V140" s="12">
        <f t="shared" si="58"/>
        <v>0</v>
      </c>
      <c r="W140" s="23">
        <f t="shared" si="59"/>
        <v>11.999999999999972</v>
      </c>
      <c r="X140" s="65"/>
      <c r="Y140" s="66"/>
      <c r="Z140" s="67"/>
      <c r="AA140" s="55"/>
      <c r="AB140" s="58"/>
      <c r="AC140" s="83">
        <v>82.2</v>
      </c>
      <c r="AD140" s="84">
        <v>66.7</v>
      </c>
      <c r="AE140" s="22">
        <f t="shared" si="60"/>
        <v>7.799999999999997</v>
      </c>
      <c r="AF140" s="12">
        <f t="shared" si="61"/>
        <v>277.8</v>
      </c>
      <c r="AG140" s="12">
        <f t="shared" si="62"/>
        <v>11.999999999999972</v>
      </c>
      <c r="AH140" s="48"/>
      <c r="AI140" s="27"/>
      <c r="AM140"/>
    </row>
    <row r="141" spans="1:39" s="54" customFormat="1" ht="12.75" customHeight="1">
      <c r="A141" s="89">
        <f>H141/100+75.153</f>
        <v>76.20800000000001</v>
      </c>
      <c r="B141" s="90" t="s">
        <v>49</v>
      </c>
      <c r="C141" s="80" t="s">
        <v>68</v>
      </c>
      <c r="D141" s="80">
        <v>2</v>
      </c>
      <c r="E141" s="76" t="s">
        <v>44</v>
      </c>
      <c r="F141" s="77">
        <v>105</v>
      </c>
      <c r="G141" s="78">
        <v>106</v>
      </c>
      <c r="H141" s="11">
        <f t="shared" si="63"/>
        <v>105.5</v>
      </c>
      <c r="I141" s="79"/>
      <c r="J141" s="55">
        <v>90</v>
      </c>
      <c r="K141" s="60">
        <v>5</v>
      </c>
      <c r="L141" s="60">
        <v>180</v>
      </c>
      <c r="M141" s="60">
        <v>4</v>
      </c>
      <c r="N141" s="60"/>
      <c r="O141" s="61"/>
      <c r="P141" s="38">
        <f t="shared" si="52"/>
        <v>0.06949102930147366</v>
      </c>
      <c r="Q141" s="38">
        <f t="shared" si="53"/>
        <v>-0.08694343573875718</v>
      </c>
      <c r="R141" s="38">
        <f t="shared" si="54"/>
        <v>0.9937680178757644</v>
      </c>
      <c r="S141" s="62">
        <f t="shared" si="55"/>
        <v>308.63419479866786</v>
      </c>
      <c r="T141" s="12">
        <f t="shared" si="56"/>
        <v>83.60949830070747</v>
      </c>
      <c r="U141" s="22">
        <f t="shared" si="57"/>
        <v>128.63419479866786</v>
      </c>
      <c r="V141" s="12">
        <f t="shared" si="58"/>
        <v>38.63419479866786</v>
      </c>
      <c r="W141" s="23">
        <f t="shared" si="59"/>
        <v>6.390501699292528</v>
      </c>
      <c r="X141" s="65"/>
      <c r="Y141" s="66"/>
      <c r="Z141" s="67"/>
      <c r="AA141" s="55"/>
      <c r="AB141" s="58"/>
      <c r="AC141" s="83">
        <v>82.2</v>
      </c>
      <c r="AD141" s="84">
        <v>66.7</v>
      </c>
      <c r="AE141" s="22">
        <f t="shared" si="60"/>
        <v>46.43419479866786</v>
      </c>
      <c r="AF141" s="12">
        <f t="shared" si="61"/>
        <v>316.4341947986679</v>
      </c>
      <c r="AG141" s="12">
        <f t="shared" si="62"/>
        <v>6.390501699292528</v>
      </c>
      <c r="AH141" s="48"/>
      <c r="AI141" s="27"/>
      <c r="AM141"/>
    </row>
    <row r="142" spans="1:39" s="54" customFormat="1" ht="12.75" customHeight="1">
      <c r="A142" s="89">
        <f>H142/100+76.575</f>
        <v>76.97</v>
      </c>
      <c r="B142" s="90" t="s">
        <v>49</v>
      </c>
      <c r="C142" s="80" t="s">
        <v>68</v>
      </c>
      <c r="D142" s="80">
        <v>5</v>
      </c>
      <c r="E142" s="76" t="s">
        <v>44</v>
      </c>
      <c r="F142" s="77">
        <v>39.5</v>
      </c>
      <c r="G142" s="78">
        <v>39.5</v>
      </c>
      <c r="H142" s="11">
        <f t="shared" si="63"/>
        <v>39.5</v>
      </c>
      <c r="I142" s="79"/>
      <c r="J142" s="55">
        <v>90</v>
      </c>
      <c r="K142" s="60">
        <v>2</v>
      </c>
      <c r="L142" s="60">
        <v>0</v>
      </c>
      <c r="M142" s="60">
        <v>3</v>
      </c>
      <c r="N142" s="60"/>
      <c r="O142" s="61"/>
      <c r="P142" s="38">
        <f t="shared" si="52"/>
        <v>0.05230407459247084</v>
      </c>
      <c r="Q142" s="38">
        <f t="shared" si="53"/>
        <v>0.034851668155187324</v>
      </c>
      <c r="R142" s="38">
        <f t="shared" si="54"/>
        <v>-0.9980211966240684</v>
      </c>
      <c r="S142" s="62">
        <f t="shared" si="55"/>
        <v>33.67663081374845</v>
      </c>
      <c r="T142" s="12">
        <f t="shared" si="56"/>
        <v>-86.39647307521291</v>
      </c>
      <c r="U142" s="22">
        <f t="shared" si="57"/>
        <v>33.67663081374845</v>
      </c>
      <c r="V142" s="12">
        <f t="shared" si="58"/>
        <v>303.67663081374843</v>
      </c>
      <c r="W142" s="23">
        <f t="shared" si="59"/>
        <v>3.60352692478709</v>
      </c>
      <c r="X142" s="65"/>
      <c r="Y142" s="66"/>
      <c r="Z142" s="67"/>
      <c r="AA142" s="55"/>
      <c r="AB142" s="58"/>
      <c r="AC142" s="83">
        <v>82.2</v>
      </c>
      <c r="AD142" s="84">
        <v>66.7</v>
      </c>
      <c r="AE142" s="22">
        <f t="shared" si="60"/>
        <v>311.47663081374844</v>
      </c>
      <c r="AF142" s="12">
        <f t="shared" si="61"/>
        <v>221.47663081374844</v>
      </c>
      <c r="AG142" s="12">
        <f t="shared" si="62"/>
        <v>3.60352692478709</v>
      </c>
      <c r="AH142" s="48"/>
      <c r="AI142" s="27"/>
      <c r="AM142"/>
    </row>
    <row r="143" spans="1:39" s="54" customFormat="1" ht="12.75" customHeight="1">
      <c r="A143" s="89">
        <f>H143/100+76.575</f>
        <v>76.985</v>
      </c>
      <c r="B143" s="90" t="s">
        <v>49</v>
      </c>
      <c r="C143" s="80" t="s">
        <v>68</v>
      </c>
      <c r="D143" s="80">
        <v>5</v>
      </c>
      <c r="E143" s="76" t="s">
        <v>44</v>
      </c>
      <c r="F143" s="77">
        <v>41</v>
      </c>
      <c r="G143" s="78">
        <v>41</v>
      </c>
      <c r="H143" s="11">
        <f t="shared" si="63"/>
        <v>41</v>
      </c>
      <c r="I143" s="79"/>
      <c r="J143" s="55">
        <v>0</v>
      </c>
      <c r="K143" s="60">
        <v>0</v>
      </c>
      <c r="L143" s="60">
        <v>180</v>
      </c>
      <c r="M143" s="60">
        <v>6</v>
      </c>
      <c r="N143" s="60"/>
      <c r="O143" s="61"/>
      <c r="P143" s="38">
        <f t="shared" si="52"/>
        <v>0</v>
      </c>
      <c r="Q143" s="38">
        <f t="shared" si="53"/>
        <v>-0.10452846326765346</v>
      </c>
      <c r="R143" s="38">
        <f t="shared" si="54"/>
        <v>1.2184369634832323E-16</v>
      </c>
      <c r="S143" s="62">
        <f t="shared" si="55"/>
        <v>270</v>
      </c>
      <c r="T143" s="12">
        <f t="shared" si="56"/>
        <v>6.678687644299087E-14</v>
      </c>
      <c r="U143" s="22">
        <f t="shared" si="57"/>
        <v>90</v>
      </c>
      <c r="V143" s="12">
        <f t="shared" si="58"/>
        <v>0</v>
      </c>
      <c r="W143" s="23">
        <f t="shared" si="59"/>
        <v>89.99999999999993</v>
      </c>
      <c r="X143" s="65"/>
      <c r="Y143" s="66"/>
      <c r="Z143" s="67"/>
      <c r="AA143" s="55"/>
      <c r="AB143" s="58"/>
      <c r="AC143" s="83">
        <v>82.2</v>
      </c>
      <c r="AD143" s="84">
        <v>66.7</v>
      </c>
      <c r="AE143" s="22">
        <f t="shared" si="60"/>
        <v>7.799999999999997</v>
      </c>
      <c r="AF143" s="12">
        <f t="shared" si="61"/>
        <v>277.8</v>
      </c>
      <c r="AG143" s="12">
        <f t="shared" si="62"/>
        <v>89.99999999999993</v>
      </c>
      <c r="AH143" s="48"/>
      <c r="AI143" s="27"/>
      <c r="AM143"/>
    </row>
    <row r="144" spans="1:39" s="54" customFormat="1" ht="12.75" customHeight="1">
      <c r="A144" s="89">
        <f>H144/100+75.812</f>
        <v>77.1895</v>
      </c>
      <c r="B144" s="90" t="s">
        <v>49</v>
      </c>
      <c r="C144" s="80" t="s">
        <v>68</v>
      </c>
      <c r="D144" s="80">
        <v>3</v>
      </c>
      <c r="E144" s="76" t="s">
        <v>44</v>
      </c>
      <c r="F144" s="77">
        <v>137.5</v>
      </c>
      <c r="G144" s="78">
        <v>138</v>
      </c>
      <c r="H144" s="11">
        <f t="shared" si="63"/>
        <v>137.75</v>
      </c>
      <c r="I144" s="79"/>
      <c r="J144" s="55">
        <v>90</v>
      </c>
      <c r="K144" s="60">
        <v>3</v>
      </c>
      <c r="L144" s="60">
        <v>0</v>
      </c>
      <c r="M144" s="60">
        <v>4</v>
      </c>
      <c r="N144" s="60"/>
      <c r="O144" s="61"/>
      <c r="P144" s="38">
        <f t="shared" si="52"/>
        <v>0.06966087492121549</v>
      </c>
      <c r="Q144" s="38">
        <f t="shared" si="53"/>
        <v>0.05220846848393197</v>
      </c>
      <c r="R144" s="38">
        <f t="shared" si="54"/>
        <v>-0.9961969233988566</v>
      </c>
      <c r="S144" s="62">
        <f t="shared" si="55"/>
        <v>36.850317119400614</v>
      </c>
      <c r="T144" s="12">
        <f t="shared" si="56"/>
        <v>-85.00583060689412</v>
      </c>
      <c r="U144" s="22">
        <f t="shared" si="57"/>
        <v>36.850317119400614</v>
      </c>
      <c r="V144" s="12">
        <f t="shared" si="58"/>
        <v>306.85031711940064</v>
      </c>
      <c r="W144" s="23">
        <f t="shared" si="59"/>
        <v>4.994169393105878</v>
      </c>
      <c r="X144" s="65"/>
      <c r="Y144" s="66"/>
      <c r="Z144" s="67"/>
      <c r="AA144" s="55"/>
      <c r="AB144" s="58"/>
      <c r="AC144" s="83">
        <v>82.2</v>
      </c>
      <c r="AD144" s="84">
        <v>66.7</v>
      </c>
      <c r="AE144" s="22">
        <f t="shared" si="60"/>
        <v>314.6503171194006</v>
      </c>
      <c r="AF144" s="12">
        <f t="shared" si="61"/>
        <v>224.6503171194006</v>
      </c>
      <c r="AG144" s="12">
        <f t="shared" si="62"/>
        <v>4.994169393105878</v>
      </c>
      <c r="AH144" s="48"/>
      <c r="AI144" s="27"/>
      <c r="AM144"/>
    </row>
    <row r="145" spans="1:39" s="54" customFormat="1" ht="12.75" customHeight="1">
      <c r="A145" s="89">
        <f>H145/100+79</f>
        <v>79.6275</v>
      </c>
      <c r="B145" s="90" t="s">
        <v>49</v>
      </c>
      <c r="C145" s="80" t="s">
        <v>69</v>
      </c>
      <c r="D145" s="80">
        <v>1</v>
      </c>
      <c r="E145" s="76" t="s">
        <v>44</v>
      </c>
      <c r="F145" s="77">
        <v>62.5</v>
      </c>
      <c r="G145" s="78">
        <v>63</v>
      </c>
      <c r="H145" s="11">
        <f t="shared" si="63"/>
        <v>62.75</v>
      </c>
      <c r="I145" s="79"/>
      <c r="J145" s="55">
        <v>90</v>
      </c>
      <c r="K145" s="60">
        <v>2</v>
      </c>
      <c r="L145" s="60">
        <v>0</v>
      </c>
      <c r="M145" s="60">
        <v>3</v>
      </c>
      <c r="N145" s="60"/>
      <c r="O145" s="61"/>
      <c r="P145" s="38">
        <f t="shared" si="52"/>
        <v>0.05230407459247084</v>
      </c>
      <c r="Q145" s="38">
        <f t="shared" si="53"/>
        <v>0.034851668155187324</v>
      </c>
      <c r="R145" s="38">
        <f t="shared" si="54"/>
        <v>-0.9980211966240684</v>
      </c>
      <c r="S145" s="62">
        <f t="shared" si="55"/>
        <v>33.67663081374845</v>
      </c>
      <c r="T145" s="12">
        <f t="shared" si="56"/>
        <v>-86.39647307521291</v>
      </c>
      <c r="U145" s="22">
        <f t="shared" si="57"/>
        <v>33.67663081374845</v>
      </c>
      <c r="V145" s="12">
        <f t="shared" si="58"/>
        <v>303.67663081374843</v>
      </c>
      <c r="W145" s="23">
        <f t="shared" si="59"/>
        <v>3.60352692478709</v>
      </c>
      <c r="X145" s="65"/>
      <c r="Y145" s="66"/>
      <c r="Z145" s="67"/>
      <c r="AA145" s="55"/>
      <c r="AB145" s="58"/>
      <c r="AC145" s="83">
        <v>56.7</v>
      </c>
      <c r="AD145" s="84">
        <v>57.4</v>
      </c>
      <c r="AE145" s="22">
        <f t="shared" si="60"/>
        <v>336.97663081374844</v>
      </c>
      <c r="AF145" s="12">
        <f t="shared" si="61"/>
        <v>246.97663081374844</v>
      </c>
      <c r="AG145" s="12">
        <f t="shared" si="62"/>
        <v>3.60352692478709</v>
      </c>
      <c r="AH145" s="48"/>
      <c r="AI145" s="27"/>
      <c r="AM145"/>
    </row>
    <row r="146" spans="1:39" s="54" customFormat="1" ht="12.75" customHeight="1">
      <c r="A146" s="89">
        <f>H146/100+79</f>
        <v>79.835</v>
      </c>
      <c r="B146" s="90" t="s">
        <v>49</v>
      </c>
      <c r="C146" s="80" t="s">
        <v>69</v>
      </c>
      <c r="D146" s="80">
        <v>1</v>
      </c>
      <c r="E146" s="76" t="s">
        <v>44</v>
      </c>
      <c r="F146" s="77">
        <v>83</v>
      </c>
      <c r="G146" s="78">
        <v>84</v>
      </c>
      <c r="H146" s="11">
        <f t="shared" si="63"/>
        <v>83.5</v>
      </c>
      <c r="I146" s="79"/>
      <c r="J146" s="55">
        <v>90</v>
      </c>
      <c r="K146" s="60">
        <v>6</v>
      </c>
      <c r="L146" s="60">
        <v>0</v>
      </c>
      <c r="M146" s="60">
        <v>3</v>
      </c>
      <c r="N146" s="60"/>
      <c r="O146" s="61"/>
      <c r="P146" s="38">
        <f t="shared" si="52"/>
        <v>0.05204925439864351</v>
      </c>
      <c r="Q146" s="38">
        <f t="shared" si="53"/>
        <v>0.10438521064158733</v>
      </c>
      <c r="R146" s="38">
        <f t="shared" si="54"/>
        <v>-0.9931589376748557</v>
      </c>
      <c r="S146" s="62">
        <f t="shared" si="55"/>
        <v>63.497930264018564</v>
      </c>
      <c r="T146" s="12">
        <f t="shared" si="56"/>
        <v>-83.30154702070026</v>
      </c>
      <c r="U146" s="22">
        <f t="shared" si="57"/>
        <v>63.497930264018564</v>
      </c>
      <c r="V146" s="12">
        <f t="shared" si="58"/>
        <v>333.4979302640186</v>
      </c>
      <c r="W146" s="23">
        <f t="shared" si="59"/>
        <v>6.698452979299745</v>
      </c>
      <c r="X146" s="65"/>
      <c r="Y146" s="66"/>
      <c r="Z146" s="67"/>
      <c r="AA146" s="55"/>
      <c r="AB146" s="58"/>
      <c r="AC146" s="83">
        <v>56.7</v>
      </c>
      <c r="AD146" s="84">
        <v>57.4</v>
      </c>
      <c r="AE146" s="22">
        <f t="shared" si="60"/>
        <v>6.797930264018561</v>
      </c>
      <c r="AF146" s="12">
        <f t="shared" si="61"/>
        <v>276.79793026401853</v>
      </c>
      <c r="AG146" s="12">
        <f t="shared" si="62"/>
        <v>6.698452979299745</v>
      </c>
      <c r="AH146" s="48"/>
      <c r="AI146" s="27"/>
      <c r="AM146"/>
    </row>
    <row r="147" spans="1:39" s="54" customFormat="1" ht="12.75" customHeight="1">
      <c r="A147" s="89">
        <f>H147/100+81.5</f>
        <v>81.9525</v>
      </c>
      <c r="B147" s="90" t="s">
        <v>49</v>
      </c>
      <c r="C147" s="80" t="s">
        <v>70</v>
      </c>
      <c r="D147" s="80">
        <v>1</v>
      </c>
      <c r="E147" s="76" t="s">
        <v>44</v>
      </c>
      <c r="F147" s="77">
        <v>45</v>
      </c>
      <c r="G147" s="78">
        <v>45.5</v>
      </c>
      <c r="H147" s="11">
        <f t="shared" si="63"/>
        <v>45.25</v>
      </c>
      <c r="I147" s="79"/>
      <c r="J147" s="55">
        <v>90</v>
      </c>
      <c r="K147" s="60">
        <v>2</v>
      </c>
      <c r="L147" s="60">
        <v>180</v>
      </c>
      <c r="M147" s="60">
        <v>4</v>
      </c>
      <c r="N147" s="60"/>
      <c r="O147" s="61"/>
      <c r="P147" s="38">
        <f t="shared" si="52"/>
        <v>0.06971397998507722</v>
      </c>
      <c r="Q147" s="38">
        <f t="shared" si="53"/>
        <v>-0.034814483282576254</v>
      </c>
      <c r="R147" s="38">
        <f t="shared" si="54"/>
        <v>0.9969563611936845</v>
      </c>
      <c r="S147" s="62">
        <f t="shared" si="55"/>
        <v>333.4629036064192</v>
      </c>
      <c r="T147" s="12">
        <f t="shared" si="56"/>
        <v>85.53076266752878</v>
      </c>
      <c r="U147" s="22">
        <f t="shared" si="57"/>
        <v>153.46290360641922</v>
      </c>
      <c r="V147" s="12">
        <f t="shared" si="58"/>
        <v>63.46290360641922</v>
      </c>
      <c r="W147" s="23">
        <f t="shared" si="59"/>
        <v>4.469237332471224</v>
      </c>
      <c r="X147" s="65"/>
      <c r="Y147" s="66"/>
      <c r="Z147" s="67"/>
      <c r="AA147" s="55"/>
      <c r="AB147" s="58"/>
      <c r="AC147" s="83">
        <v>292.6</v>
      </c>
      <c r="AD147" s="84">
        <v>73.4</v>
      </c>
      <c r="AE147" s="22">
        <f t="shared" si="60"/>
        <v>220.8629036064192</v>
      </c>
      <c r="AF147" s="12">
        <f t="shared" si="61"/>
        <v>130.8629036064192</v>
      </c>
      <c r="AG147" s="12">
        <f t="shared" si="62"/>
        <v>4.469237332471224</v>
      </c>
      <c r="AH147" s="48"/>
      <c r="AI147" s="27"/>
      <c r="AM147"/>
    </row>
    <row r="148" spans="1:39" s="54" customFormat="1" ht="12.75" customHeight="1">
      <c r="A148" s="89">
        <f>H148/100+81.5</f>
        <v>82.3715</v>
      </c>
      <c r="B148" s="90" t="s">
        <v>49</v>
      </c>
      <c r="C148" s="80" t="s">
        <v>70</v>
      </c>
      <c r="D148" s="80">
        <v>1</v>
      </c>
      <c r="E148" s="76" t="s">
        <v>44</v>
      </c>
      <c r="F148" s="77">
        <v>87</v>
      </c>
      <c r="G148" s="78">
        <v>87.3</v>
      </c>
      <c r="H148" s="11">
        <f t="shared" si="63"/>
        <v>87.15</v>
      </c>
      <c r="I148" s="79"/>
      <c r="J148" s="55">
        <v>270</v>
      </c>
      <c r="K148" s="60">
        <v>1</v>
      </c>
      <c r="L148" s="60">
        <v>180</v>
      </c>
      <c r="M148" s="60">
        <v>10</v>
      </c>
      <c r="N148" s="60"/>
      <c r="O148" s="61"/>
      <c r="P148" s="38">
        <f t="shared" si="52"/>
        <v>-0.17362173020838784</v>
      </c>
      <c r="Q148" s="38">
        <f t="shared" si="53"/>
        <v>-0.01718726516815694</v>
      </c>
      <c r="R148" s="38">
        <f t="shared" si="54"/>
        <v>-0.9846577620214009</v>
      </c>
      <c r="S148" s="62">
        <f t="shared" si="55"/>
        <v>185.65343873842082</v>
      </c>
      <c r="T148" s="12">
        <f t="shared" si="56"/>
        <v>-79.9521154364264</v>
      </c>
      <c r="U148" s="22">
        <f t="shared" si="57"/>
        <v>185.65343873842082</v>
      </c>
      <c r="V148" s="12">
        <f t="shared" si="58"/>
        <v>95.65343873842082</v>
      </c>
      <c r="W148" s="23">
        <f t="shared" si="59"/>
        <v>10.047884563573604</v>
      </c>
      <c r="X148" s="65"/>
      <c r="Y148" s="66"/>
      <c r="Z148" s="67"/>
      <c r="AA148" s="55"/>
      <c r="AB148" s="58"/>
      <c r="AC148" s="83">
        <v>292.6</v>
      </c>
      <c r="AD148" s="84">
        <v>73.4</v>
      </c>
      <c r="AE148" s="22">
        <f t="shared" si="60"/>
        <v>253.0534387384208</v>
      </c>
      <c r="AF148" s="12">
        <f t="shared" si="61"/>
        <v>163.0534387384208</v>
      </c>
      <c r="AG148" s="12">
        <f t="shared" si="62"/>
        <v>10.047884563573604</v>
      </c>
      <c r="AH148" s="48"/>
      <c r="AI148" s="27"/>
      <c r="AM148"/>
    </row>
    <row r="149" spans="1:39" s="54" customFormat="1" ht="12.75" customHeight="1">
      <c r="A149" s="89">
        <f aca="true" t="shared" si="64" ref="A149:A154">H149/100+82.867</f>
        <v>82.982</v>
      </c>
      <c r="B149" s="90" t="s">
        <v>49</v>
      </c>
      <c r="C149" s="80" t="s">
        <v>70</v>
      </c>
      <c r="D149" s="80">
        <v>2</v>
      </c>
      <c r="E149" s="76" t="s">
        <v>44</v>
      </c>
      <c r="F149" s="77">
        <v>11</v>
      </c>
      <c r="G149" s="78">
        <v>12</v>
      </c>
      <c r="H149" s="11">
        <f t="shared" si="63"/>
        <v>11.5</v>
      </c>
      <c r="I149" s="79"/>
      <c r="J149" s="55">
        <v>270</v>
      </c>
      <c r="K149" s="60">
        <v>11</v>
      </c>
      <c r="L149" s="60">
        <v>180</v>
      </c>
      <c r="M149" s="60">
        <v>20</v>
      </c>
      <c r="N149" s="60"/>
      <c r="O149" s="61"/>
      <c r="P149" s="38">
        <f t="shared" si="52"/>
        <v>-0.33573626997514255</v>
      </c>
      <c r="Q149" s="38">
        <f t="shared" si="53"/>
        <v>-0.17930180493491163</v>
      </c>
      <c r="R149" s="38">
        <f t="shared" si="54"/>
        <v>-0.922427820648625</v>
      </c>
      <c r="S149" s="62">
        <f t="shared" si="55"/>
        <v>208.10469173460228</v>
      </c>
      <c r="T149" s="12">
        <f t="shared" si="56"/>
        <v>-67.57781262957211</v>
      </c>
      <c r="U149" s="22">
        <f t="shared" si="57"/>
        <v>208.10469173460228</v>
      </c>
      <c r="V149" s="12">
        <f t="shared" si="58"/>
        <v>118.10469173460228</v>
      </c>
      <c r="W149" s="23">
        <f t="shared" si="59"/>
        <v>22.422187370427892</v>
      </c>
      <c r="X149" s="65"/>
      <c r="Y149" s="66"/>
      <c r="Z149" s="67"/>
      <c r="AA149" s="55"/>
      <c r="AB149" s="58"/>
      <c r="AC149" s="83">
        <v>292.6</v>
      </c>
      <c r="AD149" s="84">
        <v>73.4</v>
      </c>
      <c r="AE149" s="22">
        <f t="shared" si="60"/>
        <v>275.50469173460226</v>
      </c>
      <c r="AF149" s="12">
        <f t="shared" si="61"/>
        <v>185.50469173460226</v>
      </c>
      <c r="AG149" s="12">
        <f t="shared" si="62"/>
        <v>22.422187370427892</v>
      </c>
      <c r="AH149" s="48"/>
      <c r="AI149" s="27"/>
      <c r="AM149"/>
    </row>
    <row r="150" spans="1:38" s="54" customFormat="1" ht="12.75" customHeight="1">
      <c r="A150" s="89">
        <f t="shared" si="64"/>
        <v>83.542</v>
      </c>
      <c r="B150" s="90" t="s">
        <v>49</v>
      </c>
      <c r="C150" s="80" t="s">
        <v>70</v>
      </c>
      <c r="D150" s="80">
        <v>2</v>
      </c>
      <c r="E150" s="76" t="s">
        <v>50</v>
      </c>
      <c r="F150" s="77">
        <v>66</v>
      </c>
      <c r="G150" s="78">
        <v>69</v>
      </c>
      <c r="H150" s="11">
        <f t="shared" si="63"/>
        <v>67.5</v>
      </c>
      <c r="I150" s="79"/>
      <c r="J150" s="55">
        <v>90</v>
      </c>
      <c r="K150" s="60">
        <v>29</v>
      </c>
      <c r="L150" s="60">
        <v>0</v>
      </c>
      <c r="M150" s="60">
        <v>38</v>
      </c>
      <c r="N150" s="60"/>
      <c r="O150" s="61"/>
      <c r="P150" s="38">
        <f t="shared" si="52"/>
        <v>0.5384696592463355</v>
      </c>
      <c r="Q150" s="38">
        <f t="shared" si="53"/>
        <v>0.3820351942061047</v>
      </c>
      <c r="R150" s="38">
        <f t="shared" si="54"/>
        <v>-0.6892097345422058</v>
      </c>
      <c r="S150" s="62">
        <f t="shared" si="55"/>
        <v>35.35506176647818</v>
      </c>
      <c r="T150" s="12">
        <f t="shared" si="56"/>
        <v>-46.230364385952534</v>
      </c>
      <c r="U150" s="22">
        <f t="shared" si="57"/>
        <v>35.35506176647818</v>
      </c>
      <c r="V150" s="12">
        <f t="shared" si="58"/>
        <v>305.3550617664782</v>
      </c>
      <c r="W150" s="23">
        <f t="shared" si="59"/>
        <v>43.769635614047466</v>
      </c>
      <c r="X150" s="65"/>
      <c r="Y150" s="66"/>
      <c r="Z150" s="67"/>
      <c r="AA150" s="55"/>
      <c r="AB150" s="58"/>
      <c r="AC150" s="83">
        <v>292.6</v>
      </c>
      <c r="AD150" s="84">
        <v>73.4</v>
      </c>
      <c r="AE150" s="22">
        <f t="shared" si="60"/>
        <v>102.75506176647815</v>
      </c>
      <c r="AF150" s="12">
        <f t="shared" si="61"/>
        <v>12.75506176647815</v>
      </c>
      <c r="AG150" s="12">
        <f t="shared" si="62"/>
        <v>43.769635614047466</v>
      </c>
      <c r="AH150" s="48"/>
      <c r="AI150" s="27"/>
      <c r="AL150"/>
    </row>
    <row r="151" spans="1:35" s="54" customFormat="1" ht="12.75" customHeight="1">
      <c r="A151" s="89">
        <f t="shared" si="64"/>
        <v>83.552</v>
      </c>
      <c r="B151" s="90" t="s">
        <v>49</v>
      </c>
      <c r="C151" s="80" t="s">
        <v>70</v>
      </c>
      <c r="D151" s="80">
        <v>2</v>
      </c>
      <c r="E151" s="76" t="s">
        <v>50</v>
      </c>
      <c r="F151" s="77">
        <v>67</v>
      </c>
      <c r="G151" s="78">
        <v>70</v>
      </c>
      <c r="H151" s="11">
        <f t="shared" si="63"/>
        <v>68.5</v>
      </c>
      <c r="I151" s="79"/>
      <c r="J151" s="55">
        <v>270</v>
      </c>
      <c r="K151" s="60">
        <v>30</v>
      </c>
      <c r="L151" s="60">
        <v>180</v>
      </c>
      <c r="M151" s="60">
        <v>60</v>
      </c>
      <c r="N151" s="60"/>
      <c r="O151" s="61"/>
      <c r="P151" s="38">
        <f t="shared" si="52"/>
        <v>-0.75</v>
      </c>
      <c r="Q151" s="38">
        <f t="shared" si="53"/>
        <v>-0.24999999999999986</v>
      </c>
      <c r="R151" s="38">
        <f t="shared" si="54"/>
        <v>-0.43301270189221946</v>
      </c>
      <c r="S151" s="62">
        <f t="shared" si="55"/>
        <v>198.434948822922</v>
      </c>
      <c r="T151" s="12">
        <f t="shared" si="56"/>
        <v>-28.710514803597952</v>
      </c>
      <c r="U151" s="22">
        <f t="shared" si="57"/>
        <v>198.434948822922</v>
      </c>
      <c r="V151" s="12">
        <f t="shared" si="58"/>
        <v>108.434948822922</v>
      </c>
      <c r="W151" s="23">
        <f t="shared" si="59"/>
        <v>61.28948519640205</v>
      </c>
      <c r="X151" s="65"/>
      <c r="Y151" s="66"/>
      <c r="Z151" s="67"/>
      <c r="AA151" s="55"/>
      <c r="AB151" s="58"/>
      <c r="AC151" s="83">
        <v>292.6</v>
      </c>
      <c r="AD151" s="84">
        <v>73.4</v>
      </c>
      <c r="AE151" s="22">
        <f t="shared" si="60"/>
        <v>265.834948822922</v>
      </c>
      <c r="AF151" s="12">
        <f t="shared" si="61"/>
        <v>175.834948822922</v>
      </c>
      <c r="AG151" s="12">
        <f t="shared" si="62"/>
        <v>61.28948519640205</v>
      </c>
      <c r="AH151" s="48"/>
      <c r="AI151" s="27"/>
    </row>
    <row r="152" spans="1:39" s="54" customFormat="1" ht="12.75" customHeight="1">
      <c r="A152" s="89">
        <f t="shared" si="64"/>
        <v>83.5745</v>
      </c>
      <c r="B152" s="90" t="s">
        <v>49</v>
      </c>
      <c r="C152" s="80" t="s">
        <v>70</v>
      </c>
      <c r="D152" s="80">
        <v>2</v>
      </c>
      <c r="E152" s="76" t="s">
        <v>44</v>
      </c>
      <c r="F152" s="77">
        <v>70.5</v>
      </c>
      <c r="G152" s="78">
        <v>71</v>
      </c>
      <c r="H152" s="11">
        <f t="shared" si="63"/>
        <v>70.75</v>
      </c>
      <c r="I152" s="79"/>
      <c r="J152" s="55">
        <v>270</v>
      </c>
      <c r="K152" s="60">
        <v>5</v>
      </c>
      <c r="L152" s="60">
        <v>0</v>
      </c>
      <c r="M152" s="60">
        <v>2</v>
      </c>
      <c r="N152" s="60"/>
      <c r="O152" s="61"/>
      <c r="P152" s="38">
        <f t="shared" si="52"/>
        <v>-0.03476669358110182</v>
      </c>
      <c r="Q152" s="38">
        <f t="shared" si="53"/>
        <v>0.08710264982404566</v>
      </c>
      <c r="R152" s="38">
        <f t="shared" si="54"/>
        <v>0.995587843197948</v>
      </c>
      <c r="S152" s="62">
        <f t="shared" si="55"/>
        <v>111.7592264795576</v>
      </c>
      <c r="T152" s="12">
        <f t="shared" si="56"/>
        <v>84.61859152100902</v>
      </c>
      <c r="U152" s="22">
        <f t="shared" si="57"/>
        <v>291.7592264795576</v>
      </c>
      <c r="V152" s="12">
        <f t="shared" si="58"/>
        <v>201.75922647955758</v>
      </c>
      <c r="W152" s="23">
        <f t="shared" si="59"/>
        <v>5.381408478990977</v>
      </c>
      <c r="X152" s="65"/>
      <c r="Y152" s="66"/>
      <c r="Z152" s="67"/>
      <c r="AA152" s="55"/>
      <c r="AB152" s="58"/>
      <c r="AC152" s="83">
        <v>292.6</v>
      </c>
      <c r="AD152" s="84">
        <v>73.4</v>
      </c>
      <c r="AE152" s="22">
        <f t="shared" si="60"/>
        <v>359.15922647955756</v>
      </c>
      <c r="AF152" s="12">
        <f t="shared" si="61"/>
        <v>269.15922647955756</v>
      </c>
      <c r="AG152" s="12">
        <f t="shared" si="62"/>
        <v>5.381408478990977</v>
      </c>
      <c r="AH152" s="48"/>
      <c r="AI152" s="27"/>
      <c r="AM152"/>
    </row>
    <row r="153" spans="1:35" s="54" customFormat="1" ht="12.75" customHeight="1">
      <c r="A153" s="89">
        <f t="shared" si="64"/>
        <v>83.932</v>
      </c>
      <c r="B153" s="90" t="s">
        <v>49</v>
      </c>
      <c r="C153" s="80" t="s">
        <v>70</v>
      </c>
      <c r="D153" s="80">
        <v>2</v>
      </c>
      <c r="E153" s="76" t="s">
        <v>50</v>
      </c>
      <c r="F153" s="77">
        <v>104</v>
      </c>
      <c r="G153" s="78">
        <v>109</v>
      </c>
      <c r="H153" s="11">
        <f t="shared" si="63"/>
        <v>106.5</v>
      </c>
      <c r="I153" s="79"/>
      <c r="J153" s="55">
        <v>270</v>
      </c>
      <c r="K153" s="60">
        <v>38</v>
      </c>
      <c r="L153" s="60">
        <v>180</v>
      </c>
      <c r="M153" s="60">
        <v>65</v>
      </c>
      <c r="N153" s="60"/>
      <c r="O153" s="61"/>
      <c r="P153" s="38">
        <f t="shared" si="52"/>
        <v>-0.714180282262391</v>
      </c>
      <c r="Q153" s="38">
        <f t="shared" si="53"/>
        <v>-0.2601897825228441</v>
      </c>
      <c r="R153" s="38">
        <f t="shared" si="54"/>
        <v>-0.33302773492225146</v>
      </c>
      <c r="S153" s="62">
        <f t="shared" si="55"/>
        <v>200.01766709868676</v>
      </c>
      <c r="T153" s="12">
        <f t="shared" si="56"/>
        <v>-23.65998845037161</v>
      </c>
      <c r="U153" s="22">
        <f t="shared" si="57"/>
        <v>200.01766709868676</v>
      </c>
      <c r="V153" s="12">
        <f t="shared" si="58"/>
        <v>110.01766709868676</v>
      </c>
      <c r="W153" s="23">
        <f t="shared" si="59"/>
        <v>66.34001154962839</v>
      </c>
      <c r="X153" s="65"/>
      <c r="Y153" s="66"/>
      <c r="Z153" s="67"/>
      <c r="AA153" s="55"/>
      <c r="AB153" s="58"/>
      <c r="AC153" s="83">
        <v>292.6</v>
      </c>
      <c r="AD153" s="84">
        <v>73.4</v>
      </c>
      <c r="AE153" s="22">
        <f t="shared" si="60"/>
        <v>267.4176670986867</v>
      </c>
      <c r="AF153" s="12">
        <f t="shared" si="61"/>
        <v>177.4176670986867</v>
      </c>
      <c r="AG153" s="12">
        <f t="shared" si="62"/>
        <v>66.34001154962839</v>
      </c>
      <c r="AH153" s="48"/>
      <c r="AI153" s="27"/>
    </row>
    <row r="154" spans="1:39" s="54" customFormat="1" ht="12.75" customHeight="1">
      <c r="A154" s="89">
        <f t="shared" si="64"/>
        <v>84.272</v>
      </c>
      <c r="B154" s="90" t="s">
        <v>49</v>
      </c>
      <c r="C154" s="80" t="s">
        <v>70</v>
      </c>
      <c r="D154" s="80">
        <v>2</v>
      </c>
      <c r="E154" s="76" t="s">
        <v>44</v>
      </c>
      <c r="F154" s="77">
        <v>140</v>
      </c>
      <c r="G154" s="78">
        <v>141</v>
      </c>
      <c r="H154" s="11">
        <f t="shared" si="63"/>
        <v>140.5</v>
      </c>
      <c r="I154" s="79"/>
      <c r="J154" s="55">
        <v>270</v>
      </c>
      <c r="K154" s="60">
        <v>5</v>
      </c>
      <c r="L154" s="60">
        <v>180</v>
      </c>
      <c r="M154" s="60">
        <v>9</v>
      </c>
      <c r="N154" s="60"/>
      <c r="O154" s="61"/>
      <c r="P154" s="38">
        <f aca="true" t="shared" si="65" ref="P154:P185">COS(K154*PI()/180)*SIN(J154*PI()/180)*(SIN((M154)*PI()/180))-(COS((M154)*PI()/180)*SIN(L154*PI()/180))*(SIN(K154*PI()/180))</f>
        <v>-0.1558391846718965</v>
      </c>
      <c r="Q154" s="38">
        <f aca="true" t="shared" si="66" ref="Q154:Q185">(SIN(K154*PI()/180))*(COS((M154)*PI()/180)*COS(L154*PI()/180))-(SIN((M154)*PI()/180))*(COS(K154*PI()/180)*COS(J154*PI()/180))</f>
        <v>-0.08608271092777119</v>
      </c>
      <c r="R154" s="38">
        <f aca="true" t="shared" si="67" ref="R154:R185">(COS(K154*PI()/180)*COS(J154*PI()/180))*(COS((M154)*PI()/180)*SIN(L154*PI()/180))-(COS(K154*PI()/180)*SIN(J154*PI()/180))*(COS((M154)*PI()/180)*COS(L154*PI()/180))</f>
        <v>-0.9839298882679104</v>
      </c>
      <c r="S154" s="62">
        <f aca="true" t="shared" si="68" ref="S154:S185">IF(P154=0,IF(Q154&gt;=0,90,270),IF(P154&gt;0,IF(Q154&gt;=0,ATAN(Q154/P154)*180/PI(),ATAN(Q154/P154)*180/PI()+360),ATAN(Q154/P154)*180/PI()+180))</f>
        <v>208.91545636591997</v>
      </c>
      <c r="T154" s="12">
        <f aca="true" t="shared" si="69" ref="T154:T185">ASIN(R154/SQRT(P154^2+Q154^2+R154^2))*180/PI()</f>
        <v>-79.74377297772563</v>
      </c>
      <c r="U154" s="22">
        <f aca="true" t="shared" si="70" ref="U154:U185">IF(R154&lt;0,S154,IF(S154+180&gt;=360,S154-180,S154+180))</f>
        <v>208.91545636591997</v>
      </c>
      <c r="V154" s="12">
        <f aca="true" t="shared" si="71" ref="V154:V185">IF(U154-90&lt;0,U154+270,U154-90)</f>
        <v>118.91545636591997</v>
      </c>
      <c r="W154" s="23">
        <f aca="true" t="shared" si="72" ref="W154:W185">IF(R154&lt;0,90+T154,90-T154)</f>
        <v>10.256227022274373</v>
      </c>
      <c r="X154" s="65"/>
      <c r="Y154" s="66"/>
      <c r="Z154" s="67"/>
      <c r="AA154" s="55"/>
      <c r="AB154" s="58"/>
      <c r="AC154" s="83">
        <v>292.6</v>
      </c>
      <c r="AD154" s="84">
        <v>73.4</v>
      </c>
      <c r="AE154" s="22">
        <f aca="true" t="shared" si="73" ref="AE154:AE185">IF(AD154&gt;=0,IF(U154&gt;=AC154,U154-AC154,U154-AC154+360),IF((U154-AC154-180)&lt;0,IF(U154-AC154+180&lt;0,U154-AC154+540,U154-AC154+180),U154-AC154-180))</f>
        <v>276.31545636591994</v>
      </c>
      <c r="AF154" s="12">
        <f aca="true" t="shared" si="74" ref="AF154:AF185">IF(AE154-90&lt;0,AE154+270,AE154-90)</f>
        <v>186.31545636591994</v>
      </c>
      <c r="AG154" s="12">
        <f aca="true" t="shared" si="75" ref="AG154:AG185">W154</f>
        <v>10.256227022274373</v>
      </c>
      <c r="AH154" s="48"/>
      <c r="AI154" s="27"/>
      <c r="AM154"/>
    </row>
    <row r="155" spans="1:35" s="54" customFormat="1" ht="12.75" customHeight="1">
      <c r="A155" s="89">
        <f>H155/100+84.502</f>
        <v>84.5645</v>
      </c>
      <c r="B155" s="90" t="s">
        <v>49</v>
      </c>
      <c r="C155" s="80" t="s">
        <v>70</v>
      </c>
      <c r="D155" s="80">
        <v>4</v>
      </c>
      <c r="E155" s="76" t="s">
        <v>50</v>
      </c>
      <c r="F155" s="77">
        <v>4.5</v>
      </c>
      <c r="G155" s="78">
        <v>8</v>
      </c>
      <c r="H155" s="11">
        <f t="shared" si="63"/>
        <v>6.25</v>
      </c>
      <c r="I155" s="79"/>
      <c r="J155" s="55">
        <v>270</v>
      </c>
      <c r="K155" s="60">
        <v>30</v>
      </c>
      <c r="L155" s="60">
        <v>180</v>
      </c>
      <c r="M155" s="60">
        <v>30</v>
      </c>
      <c r="N155" s="60"/>
      <c r="O155" s="61"/>
      <c r="P155" s="38">
        <f t="shared" si="65"/>
        <v>-0.43301270189221935</v>
      </c>
      <c r="Q155" s="38">
        <f t="shared" si="66"/>
        <v>-0.43301270189221924</v>
      </c>
      <c r="R155" s="38">
        <f t="shared" si="67"/>
        <v>-0.7500000000000001</v>
      </c>
      <c r="S155" s="62">
        <f t="shared" si="68"/>
        <v>225</v>
      </c>
      <c r="T155" s="12">
        <f t="shared" si="69"/>
        <v>-50.76847951640775</v>
      </c>
      <c r="U155" s="22">
        <f t="shared" si="70"/>
        <v>225</v>
      </c>
      <c r="V155" s="12">
        <f t="shared" si="71"/>
        <v>135</v>
      </c>
      <c r="W155" s="23">
        <f t="shared" si="72"/>
        <v>39.23152048359225</v>
      </c>
      <c r="X155" s="65"/>
      <c r="Y155" s="66"/>
      <c r="Z155" s="67"/>
      <c r="AA155" s="55"/>
      <c r="AB155" s="58"/>
      <c r="AC155" s="83">
        <v>292.6</v>
      </c>
      <c r="AD155" s="84">
        <v>73.4</v>
      </c>
      <c r="AE155" s="22">
        <f t="shared" si="73"/>
        <v>292.4</v>
      </c>
      <c r="AF155" s="12">
        <f t="shared" si="74"/>
        <v>202.39999999999998</v>
      </c>
      <c r="AG155" s="12">
        <f t="shared" si="75"/>
        <v>39.23152048359225</v>
      </c>
      <c r="AH155" s="48"/>
      <c r="AI155" s="27"/>
    </row>
    <row r="156" spans="1:39" s="54" customFormat="1" ht="12.75" customHeight="1">
      <c r="A156" s="89">
        <f>H156/100+84.502</f>
        <v>85.2645</v>
      </c>
      <c r="B156" s="90" t="s">
        <v>49</v>
      </c>
      <c r="C156" s="80" t="s">
        <v>70</v>
      </c>
      <c r="D156" s="80">
        <v>4</v>
      </c>
      <c r="E156" s="76" t="s">
        <v>44</v>
      </c>
      <c r="F156" s="77">
        <v>76</v>
      </c>
      <c r="G156" s="78">
        <v>76.5</v>
      </c>
      <c r="H156" s="11">
        <f t="shared" si="63"/>
        <v>76.25</v>
      </c>
      <c r="I156" s="79"/>
      <c r="J156" s="55">
        <v>90</v>
      </c>
      <c r="K156" s="60">
        <v>1</v>
      </c>
      <c r="L156" s="60">
        <v>180</v>
      </c>
      <c r="M156" s="60">
        <v>2</v>
      </c>
      <c r="N156" s="60"/>
      <c r="O156" s="61"/>
      <c r="P156" s="38">
        <f t="shared" si="65"/>
        <v>0.03489418134011367</v>
      </c>
      <c r="Q156" s="38">
        <f t="shared" si="66"/>
        <v>-0.01744177490283016</v>
      </c>
      <c r="R156" s="38">
        <f t="shared" si="67"/>
        <v>0.9992386149554826</v>
      </c>
      <c r="S156" s="62">
        <f t="shared" si="68"/>
        <v>333.4419319834189</v>
      </c>
      <c r="T156" s="12">
        <f t="shared" si="69"/>
        <v>87.76429506217737</v>
      </c>
      <c r="U156" s="22">
        <f t="shared" si="70"/>
        <v>153.4419319834189</v>
      </c>
      <c r="V156" s="12">
        <f t="shared" si="71"/>
        <v>63.4419319834189</v>
      </c>
      <c r="W156" s="23">
        <f t="shared" si="72"/>
        <v>2.235704937822632</v>
      </c>
      <c r="X156" s="65"/>
      <c r="Y156" s="66"/>
      <c r="Z156" s="67"/>
      <c r="AA156" s="55"/>
      <c r="AB156" s="58"/>
      <c r="AC156" s="83">
        <v>292.6</v>
      </c>
      <c r="AD156" s="84">
        <v>73.4</v>
      </c>
      <c r="AE156" s="22">
        <f t="shared" si="73"/>
        <v>220.84193198341887</v>
      </c>
      <c r="AF156" s="12">
        <f t="shared" si="74"/>
        <v>130.84193198341887</v>
      </c>
      <c r="AG156" s="12">
        <f t="shared" si="75"/>
        <v>2.235704937822632</v>
      </c>
      <c r="AH156" s="48"/>
      <c r="AI156" s="27"/>
      <c r="AM156"/>
    </row>
    <row r="157" spans="1:39" s="54" customFormat="1" ht="12.75" customHeight="1">
      <c r="A157" s="89">
        <f>H157/100+85.395</f>
        <v>86.3</v>
      </c>
      <c r="B157" s="90" t="s">
        <v>49</v>
      </c>
      <c r="C157" s="80" t="s">
        <v>70</v>
      </c>
      <c r="D157" s="80">
        <v>5</v>
      </c>
      <c r="E157" s="76" t="s">
        <v>44</v>
      </c>
      <c r="F157" s="77">
        <v>90</v>
      </c>
      <c r="G157" s="78">
        <v>91</v>
      </c>
      <c r="H157" s="11">
        <f t="shared" si="63"/>
        <v>90.5</v>
      </c>
      <c r="I157" s="79"/>
      <c r="J157" s="55">
        <v>270</v>
      </c>
      <c r="K157" s="60">
        <v>11</v>
      </c>
      <c r="L157" s="60">
        <v>180</v>
      </c>
      <c r="M157" s="60">
        <v>2</v>
      </c>
      <c r="N157" s="60"/>
      <c r="O157" s="61"/>
      <c r="P157" s="38">
        <f t="shared" si="65"/>
        <v>-0.03425829465181708</v>
      </c>
      <c r="Q157" s="38">
        <f t="shared" si="66"/>
        <v>-0.19069275969204794</v>
      </c>
      <c r="R157" s="38">
        <f t="shared" si="67"/>
        <v>-0.9810292026901866</v>
      </c>
      <c r="S157" s="62">
        <f t="shared" si="68"/>
        <v>259.8153525708782</v>
      </c>
      <c r="T157" s="12">
        <f t="shared" si="69"/>
        <v>-78.82829448352462</v>
      </c>
      <c r="U157" s="22">
        <f t="shared" si="70"/>
        <v>259.8153525708782</v>
      </c>
      <c r="V157" s="12">
        <f t="shared" si="71"/>
        <v>169.8153525708782</v>
      </c>
      <c r="W157" s="23">
        <f t="shared" si="72"/>
        <v>11.171705516475384</v>
      </c>
      <c r="X157" s="65"/>
      <c r="Y157" s="66"/>
      <c r="Z157" s="67"/>
      <c r="AA157" s="55"/>
      <c r="AB157" s="58"/>
      <c r="AC157" s="83">
        <v>292.6</v>
      </c>
      <c r="AD157" s="84">
        <v>73.4</v>
      </c>
      <c r="AE157" s="22">
        <f t="shared" si="73"/>
        <v>327.21535257087817</v>
      </c>
      <c r="AF157" s="12">
        <f t="shared" si="74"/>
        <v>237.21535257087817</v>
      </c>
      <c r="AG157" s="12">
        <f t="shared" si="75"/>
        <v>11.171705516475384</v>
      </c>
      <c r="AH157" s="48"/>
      <c r="AI157" s="27"/>
      <c r="AM157"/>
    </row>
    <row r="158" spans="1:39" s="54" customFormat="1" ht="12.75" customHeight="1">
      <c r="A158" s="89">
        <f>H158/100+85.395</f>
        <v>86.36749999999999</v>
      </c>
      <c r="B158" s="90" t="s">
        <v>49</v>
      </c>
      <c r="C158" s="80" t="s">
        <v>70</v>
      </c>
      <c r="D158" s="80">
        <v>5</v>
      </c>
      <c r="E158" s="76" t="s">
        <v>44</v>
      </c>
      <c r="F158" s="77">
        <v>97</v>
      </c>
      <c r="G158" s="78">
        <v>97.5</v>
      </c>
      <c r="H158" s="11">
        <f t="shared" si="63"/>
        <v>97.25</v>
      </c>
      <c r="I158" s="79"/>
      <c r="J158" s="55">
        <v>270</v>
      </c>
      <c r="K158" s="60">
        <v>7</v>
      </c>
      <c r="L158" s="60">
        <v>0</v>
      </c>
      <c r="M158" s="60">
        <v>0</v>
      </c>
      <c r="N158" s="60"/>
      <c r="O158" s="61"/>
      <c r="P158" s="38">
        <f t="shared" si="65"/>
        <v>0</v>
      </c>
      <c r="Q158" s="38">
        <f t="shared" si="66"/>
        <v>0.12186934340514748</v>
      </c>
      <c r="R158" s="38">
        <f t="shared" si="67"/>
        <v>0.992546151641322</v>
      </c>
      <c r="S158" s="62">
        <f t="shared" si="68"/>
        <v>90</v>
      </c>
      <c r="T158" s="12">
        <f t="shared" si="69"/>
        <v>82.99999999999997</v>
      </c>
      <c r="U158" s="22">
        <f t="shared" si="70"/>
        <v>270</v>
      </c>
      <c r="V158" s="12">
        <f t="shared" si="71"/>
        <v>180</v>
      </c>
      <c r="W158" s="23">
        <f t="shared" si="72"/>
        <v>7.000000000000028</v>
      </c>
      <c r="X158" s="65"/>
      <c r="Y158" s="66"/>
      <c r="Z158" s="67"/>
      <c r="AA158" s="55"/>
      <c r="AB158" s="58"/>
      <c r="AC158" s="83">
        <v>292.6</v>
      </c>
      <c r="AD158" s="84">
        <v>73.4</v>
      </c>
      <c r="AE158" s="22">
        <f t="shared" si="73"/>
        <v>337.4</v>
      </c>
      <c r="AF158" s="12">
        <f t="shared" si="74"/>
        <v>247.39999999999998</v>
      </c>
      <c r="AG158" s="12">
        <f t="shared" si="75"/>
        <v>7.000000000000028</v>
      </c>
      <c r="AH158" s="48"/>
      <c r="AI158" s="27"/>
      <c r="AM158"/>
    </row>
    <row r="159" spans="1:39" s="54" customFormat="1" ht="12.75" customHeight="1">
      <c r="A159" s="89">
        <f>H159/100+85.395</f>
        <v>86.5225</v>
      </c>
      <c r="B159" s="90" t="s">
        <v>49</v>
      </c>
      <c r="C159" s="80" t="s">
        <v>70</v>
      </c>
      <c r="D159" s="80">
        <v>5</v>
      </c>
      <c r="E159" s="76" t="s">
        <v>44</v>
      </c>
      <c r="F159" s="77">
        <v>112.5</v>
      </c>
      <c r="G159" s="78">
        <v>113</v>
      </c>
      <c r="H159" s="11">
        <f t="shared" si="63"/>
        <v>112.75</v>
      </c>
      <c r="I159" s="79"/>
      <c r="J159" s="55">
        <v>270</v>
      </c>
      <c r="K159" s="60">
        <v>4</v>
      </c>
      <c r="L159" s="60">
        <v>180</v>
      </c>
      <c r="M159" s="60">
        <v>4</v>
      </c>
      <c r="N159" s="82" t="s">
        <v>71</v>
      </c>
      <c r="O159" s="61"/>
      <c r="P159" s="38">
        <f t="shared" si="65"/>
        <v>-0.06958655048003273</v>
      </c>
      <c r="Q159" s="38">
        <f t="shared" si="66"/>
        <v>-0.0695865504800327</v>
      </c>
      <c r="R159" s="38">
        <f t="shared" si="67"/>
        <v>-0.9951340343707851</v>
      </c>
      <c r="S159" s="62">
        <f t="shared" si="68"/>
        <v>225</v>
      </c>
      <c r="T159" s="12">
        <f t="shared" si="69"/>
        <v>-84.35230034984491</v>
      </c>
      <c r="U159" s="22">
        <f t="shared" si="70"/>
        <v>225</v>
      </c>
      <c r="V159" s="12">
        <f t="shared" si="71"/>
        <v>135</v>
      </c>
      <c r="W159" s="23">
        <f t="shared" si="72"/>
        <v>5.64769965015509</v>
      </c>
      <c r="X159" s="65"/>
      <c r="Y159" s="66"/>
      <c r="Z159" s="67"/>
      <c r="AA159" s="55"/>
      <c r="AB159" s="58"/>
      <c r="AC159" s="83">
        <v>292.6</v>
      </c>
      <c r="AD159" s="84">
        <v>73.4</v>
      </c>
      <c r="AE159" s="22">
        <f t="shared" si="73"/>
        <v>292.4</v>
      </c>
      <c r="AF159" s="12">
        <f t="shared" si="74"/>
        <v>202.39999999999998</v>
      </c>
      <c r="AG159" s="12">
        <f t="shared" si="75"/>
        <v>5.64769965015509</v>
      </c>
      <c r="AH159" s="48"/>
      <c r="AI159" s="27"/>
      <c r="AM159"/>
    </row>
    <row r="160" spans="1:35" s="54" customFormat="1" ht="12.75" customHeight="1">
      <c r="A160" s="89">
        <f>H160/100+90.5</f>
        <v>90.85</v>
      </c>
      <c r="B160" s="90" t="s">
        <v>49</v>
      </c>
      <c r="C160" s="80" t="s">
        <v>62</v>
      </c>
      <c r="D160" s="80">
        <v>1</v>
      </c>
      <c r="E160" s="76" t="s">
        <v>50</v>
      </c>
      <c r="F160" s="77">
        <v>33</v>
      </c>
      <c r="G160" s="78">
        <v>37</v>
      </c>
      <c r="H160" s="1">
        <f t="shared" si="63"/>
        <v>35</v>
      </c>
      <c r="I160" s="79"/>
      <c r="J160" s="55">
        <v>270</v>
      </c>
      <c r="K160" s="60">
        <v>31</v>
      </c>
      <c r="L160" s="60">
        <v>26</v>
      </c>
      <c r="M160" s="60">
        <v>0</v>
      </c>
      <c r="N160" s="60"/>
      <c r="O160" s="61"/>
      <c r="P160" s="38">
        <f t="shared" si="65"/>
        <v>-0.2257778315383592</v>
      </c>
      <c r="Q160" s="38">
        <f t="shared" si="66"/>
        <v>0.4629131553465411</v>
      </c>
      <c r="R160" s="38">
        <f t="shared" si="67"/>
        <v>0.7704168665533863</v>
      </c>
      <c r="S160" s="62">
        <f t="shared" si="68"/>
        <v>116</v>
      </c>
      <c r="T160" s="12">
        <f t="shared" si="69"/>
        <v>56.23653229843636</v>
      </c>
      <c r="U160" s="22">
        <f t="shared" si="70"/>
        <v>296</v>
      </c>
      <c r="V160" s="12">
        <f t="shared" si="71"/>
        <v>206</v>
      </c>
      <c r="W160" s="23">
        <f t="shared" si="72"/>
        <v>33.76346770156364</v>
      </c>
      <c r="X160" s="65"/>
      <c r="Y160" s="66"/>
      <c r="Z160" s="67"/>
      <c r="AA160" s="55"/>
      <c r="AB160" s="58"/>
      <c r="AC160" s="83">
        <v>32</v>
      </c>
      <c r="AD160" s="84">
        <v>68.9</v>
      </c>
      <c r="AE160" s="22">
        <f t="shared" si="73"/>
        <v>264</v>
      </c>
      <c r="AF160" s="12">
        <f t="shared" si="74"/>
        <v>174</v>
      </c>
      <c r="AG160" s="12">
        <f t="shared" si="75"/>
        <v>33.76346770156364</v>
      </c>
      <c r="AH160" s="48"/>
      <c r="AI160" s="27"/>
    </row>
    <row r="161" spans="1:35" s="54" customFormat="1" ht="12.75" customHeight="1">
      <c r="A161" s="89">
        <f>H161/100+90.5</f>
        <v>91.42</v>
      </c>
      <c r="B161" s="90" t="s">
        <v>49</v>
      </c>
      <c r="C161" s="80" t="s">
        <v>62</v>
      </c>
      <c r="D161" s="80">
        <v>1</v>
      </c>
      <c r="E161" s="76" t="s">
        <v>50</v>
      </c>
      <c r="F161" s="77">
        <v>88</v>
      </c>
      <c r="G161" s="78">
        <v>96</v>
      </c>
      <c r="H161" s="1">
        <f t="shared" si="63"/>
        <v>92</v>
      </c>
      <c r="I161" s="79"/>
      <c r="J161" s="55">
        <v>270</v>
      </c>
      <c r="K161" s="60">
        <v>49</v>
      </c>
      <c r="L161" s="60">
        <v>34</v>
      </c>
      <c r="M161" s="60">
        <v>0</v>
      </c>
      <c r="N161" s="60"/>
      <c r="O161" s="61"/>
      <c r="P161" s="38">
        <f t="shared" si="65"/>
        <v>-0.4220282414419605</v>
      </c>
      <c r="Q161" s="38">
        <f t="shared" si="66"/>
        <v>0.6256825983719213</v>
      </c>
      <c r="R161" s="38">
        <f t="shared" si="67"/>
        <v>0.5438975848471077</v>
      </c>
      <c r="S161" s="62">
        <f t="shared" si="68"/>
        <v>124</v>
      </c>
      <c r="T161" s="12">
        <f t="shared" si="69"/>
        <v>35.77921276130446</v>
      </c>
      <c r="U161" s="22">
        <f t="shared" si="70"/>
        <v>304</v>
      </c>
      <c r="V161" s="12">
        <f t="shared" si="71"/>
        <v>214</v>
      </c>
      <c r="W161" s="23">
        <f t="shared" si="72"/>
        <v>54.22078723869554</v>
      </c>
      <c r="X161" s="65"/>
      <c r="Y161" s="66"/>
      <c r="Z161" s="67"/>
      <c r="AA161" s="55"/>
      <c r="AB161" s="58"/>
      <c r="AC161" s="83">
        <v>32</v>
      </c>
      <c r="AD161" s="84">
        <v>68.9</v>
      </c>
      <c r="AE161" s="22">
        <f t="shared" si="73"/>
        <v>272</v>
      </c>
      <c r="AF161" s="12">
        <f t="shared" si="74"/>
        <v>182</v>
      </c>
      <c r="AG161" s="12">
        <f t="shared" si="75"/>
        <v>54.22078723869554</v>
      </c>
      <c r="AH161" s="48"/>
      <c r="AI161" s="27"/>
    </row>
    <row r="162" spans="1:35" s="54" customFormat="1" ht="12.75" customHeight="1">
      <c r="A162" s="89">
        <f>H162/100+90.5</f>
        <v>91.435</v>
      </c>
      <c r="B162" s="90" t="s">
        <v>49</v>
      </c>
      <c r="C162" s="80" t="s">
        <v>62</v>
      </c>
      <c r="D162" s="80">
        <v>1</v>
      </c>
      <c r="E162" s="76" t="s">
        <v>50</v>
      </c>
      <c r="F162" s="77">
        <v>92</v>
      </c>
      <c r="G162" s="78">
        <v>95</v>
      </c>
      <c r="H162" s="1">
        <f t="shared" si="63"/>
        <v>93.5</v>
      </c>
      <c r="I162" s="79"/>
      <c r="J162" s="55">
        <v>90</v>
      </c>
      <c r="K162" s="60">
        <v>34</v>
      </c>
      <c r="L162" s="60">
        <v>329</v>
      </c>
      <c r="M162" s="60">
        <v>0</v>
      </c>
      <c r="N162" s="60"/>
      <c r="O162" s="61"/>
      <c r="P162" s="38">
        <f t="shared" si="65"/>
        <v>0.2880056365069374</v>
      </c>
      <c r="Q162" s="38">
        <f t="shared" si="66"/>
        <v>0.47932187163979684</v>
      </c>
      <c r="R162" s="38">
        <f t="shared" si="67"/>
        <v>-0.7106238982476365</v>
      </c>
      <c r="S162" s="62">
        <f t="shared" si="68"/>
        <v>58.99999999999998</v>
      </c>
      <c r="T162" s="12">
        <f t="shared" si="69"/>
        <v>-51.80064545858355</v>
      </c>
      <c r="U162" s="22">
        <f t="shared" si="70"/>
        <v>58.99999999999998</v>
      </c>
      <c r="V162" s="12">
        <f t="shared" si="71"/>
        <v>329</v>
      </c>
      <c r="W162" s="23">
        <f t="shared" si="72"/>
        <v>38.19935454141645</v>
      </c>
      <c r="X162" s="65"/>
      <c r="Y162" s="66"/>
      <c r="Z162" s="67"/>
      <c r="AA162" s="55"/>
      <c r="AB162" s="58"/>
      <c r="AC162" s="83">
        <v>32</v>
      </c>
      <c r="AD162" s="84">
        <v>68.9</v>
      </c>
      <c r="AE162" s="22">
        <f t="shared" si="73"/>
        <v>26.99999999999998</v>
      </c>
      <c r="AF162" s="12">
        <f t="shared" si="74"/>
        <v>297</v>
      </c>
      <c r="AG162" s="12">
        <f t="shared" si="75"/>
        <v>38.19935454141645</v>
      </c>
      <c r="AH162" s="48"/>
      <c r="AI162" s="27"/>
    </row>
    <row r="163" spans="1:36" s="54" customFormat="1" ht="12.75" customHeight="1">
      <c r="A163" s="89">
        <f>H163/100+90.5</f>
        <v>91.625</v>
      </c>
      <c r="B163" s="90" t="s">
        <v>49</v>
      </c>
      <c r="C163" s="80" t="s">
        <v>62</v>
      </c>
      <c r="D163" s="80">
        <v>1</v>
      </c>
      <c r="E163" s="76" t="s">
        <v>50</v>
      </c>
      <c r="F163" s="77">
        <v>109</v>
      </c>
      <c r="G163" s="78">
        <v>116</v>
      </c>
      <c r="H163" s="1">
        <f t="shared" si="63"/>
        <v>112.5</v>
      </c>
      <c r="I163" s="79"/>
      <c r="J163" s="55">
        <v>270</v>
      </c>
      <c r="K163" s="60">
        <v>46</v>
      </c>
      <c r="L163" s="60">
        <v>53</v>
      </c>
      <c r="M163" s="60">
        <v>0</v>
      </c>
      <c r="N163" s="60"/>
      <c r="O163" s="61"/>
      <c r="P163" s="38">
        <f t="shared" si="65"/>
        <v>-0.5744903083407764</v>
      </c>
      <c r="Q163" s="38">
        <f t="shared" si="66"/>
        <v>0.43290949859499517</v>
      </c>
      <c r="R163" s="38">
        <f t="shared" si="67"/>
        <v>0.41805584330054557</v>
      </c>
      <c r="S163" s="62">
        <f t="shared" si="68"/>
        <v>143</v>
      </c>
      <c r="T163" s="12">
        <f t="shared" si="69"/>
        <v>30.16369856526945</v>
      </c>
      <c r="U163" s="22">
        <f t="shared" si="70"/>
        <v>323</v>
      </c>
      <c r="V163" s="12">
        <f t="shared" si="71"/>
        <v>233</v>
      </c>
      <c r="W163" s="23">
        <f t="shared" si="72"/>
        <v>59.83630143473055</v>
      </c>
      <c r="X163" s="65"/>
      <c r="Y163" s="66"/>
      <c r="Z163" s="67" t="s">
        <v>142</v>
      </c>
      <c r="AA163" s="55"/>
      <c r="AB163" s="58"/>
      <c r="AC163" s="83">
        <v>32</v>
      </c>
      <c r="AD163" s="84">
        <v>68.9</v>
      </c>
      <c r="AE163" s="22">
        <f t="shared" si="73"/>
        <v>291</v>
      </c>
      <c r="AF163" s="12">
        <f t="shared" si="74"/>
        <v>201</v>
      </c>
      <c r="AG163" s="12">
        <f t="shared" si="75"/>
        <v>59.83630143473055</v>
      </c>
      <c r="AH163" s="48"/>
      <c r="AI163" s="27" t="str">
        <f>Z163</f>
        <v>N</v>
      </c>
      <c r="AJ163" s="54" t="s">
        <v>143</v>
      </c>
    </row>
    <row r="164" spans="1:35" s="54" customFormat="1" ht="12.75" customHeight="1">
      <c r="A164" s="89">
        <f aca="true" t="shared" si="76" ref="A164:A170">H164/100+91.81</f>
        <v>91.9575</v>
      </c>
      <c r="B164" s="90" t="s">
        <v>49</v>
      </c>
      <c r="C164" s="80" t="s">
        <v>62</v>
      </c>
      <c r="D164" s="80">
        <v>2</v>
      </c>
      <c r="E164" s="76" t="s">
        <v>50</v>
      </c>
      <c r="F164" s="77">
        <v>12</v>
      </c>
      <c r="G164" s="78">
        <v>17.5</v>
      </c>
      <c r="H164" s="1">
        <f t="shared" si="63"/>
        <v>14.75</v>
      </c>
      <c r="I164" s="79"/>
      <c r="J164" s="55">
        <v>270</v>
      </c>
      <c r="K164" s="60">
        <v>37</v>
      </c>
      <c r="L164" s="60">
        <v>42</v>
      </c>
      <c r="M164" s="60">
        <v>0</v>
      </c>
      <c r="N164" s="60"/>
      <c r="O164" s="61"/>
      <c r="P164" s="38">
        <f t="shared" si="65"/>
        <v>-0.40269285135760036</v>
      </c>
      <c r="Q164" s="38">
        <f t="shared" si="66"/>
        <v>0.44723572035000286</v>
      </c>
      <c r="R164" s="38">
        <f t="shared" si="67"/>
        <v>0.5935018467341451</v>
      </c>
      <c r="S164" s="62">
        <f t="shared" si="68"/>
        <v>132</v>
      </c>
      <c r="T164" s="12">
        <f t="shared" si="69"/>
        <v>44.60152637701588</v>
      </c>
      <c r="U164" s="22">
        <f t="shared" si="70"/>
        <v>312</v>
      </c>
      <c r="V164" s="12">
        <f t="shared" si="71"/>
        <v>222</v>
      </c>
      <c r="W164" s="23">
        <f t="shared" si="72"/>
        <v>45.39847362298412</v>
      </c>
      <c r="X164" s="65"/>
      <c r="Y164" s="66"/>
      <c r="Z164" s="67"/>
      <c r="AA164" s="55"/>
      <c r="AB164" s="58"/>
      <c r="AC164" s="83">
        <v>32</v>
      </c>
      <c r="AD164" s="84">
        <v>68.9</v>
      </c>
      <c r="AE164" s="22">
        <f t="shared" si="73"/>
        <v>280</v>
      </c>
      <c r="AF164" s="12">
        <f t="shared" si="74"/>
        <v>190</v>
      </c>
      <c r="AG164" s="12">
        <f t="shared" si="75"/>
        <v>45.39847362298412</v>
      </c>
      <c r="AH164" s="48"/>
      <c r="AI164" s="27"/>
    </row>
    <row r="165" spans="1:35" s="54" customFormat="1" ht="12.75" customHeight="1">
      <c r="A165" s="89">
        <f t="shared" si="76"/>
        <v>92.01</v>
      </c>
      <c r="B165" s="90" t="s">
        <v>49</v>
      </c>
      <c r="C165" s="80" t="s">
        <v>62</v>
      </c>
      <c r="D165" s="80">
        <v>2</v>
      </c>
      <c r="E165" s="76" t="s">
        <v>50</v>
      </c>
      <c r="F165" s="77">
        <v>17.5</v>
      </c>
      <c r="G165" s="78">
        <v>22.5</v>
      </c>
      <c r="H165" s="1">
        <f t="shared" si="63"/>
        <v>20</v>
      </c>
      <c r="I165" s="79"/>
      <c r="J165" s="55">
        <v>90</v>
      </c>
      <c r="K165" s="60">
        <v>45</v>
      </c>
      <c r="L165" s="60">
        <v>330</v>
      </c>
      <c r="M165" s="60">
        <v>0</v>
      </c>
      <c r="N165" s="60"/>
      <c r="O165" s="61"/>
      <c r="P165" s="38">
        <f t="shared" si="65"/>
        <v>0.35355339059327406</v>
      </c>
      <c r="Q165" s="38">
        <f t="shared" si="66"/>
        <v>0.6123724356957942</v>
      </c>
      <c r="R165" s="38">
        <f t="shared" si="67"/>
        <v>-0.6123724356957944</v>
      </c>
      <c r="S165" s="62">
        <f t="shared" si="68"/>
        <v>59.99999999999997</v>
      </c>
      <c r="T165" s="12">
        <f t="shared" si="69"/>
        <v>-40.89339464913091</v>
      </c>
      <c r="U165" s="22">
        <f t="shared" si="70"/>
        <v>59.99999999999997</v>
      </c>
      <c r="V165" s="12">
        <f t="shared" si="71"/>
        <v>330</v>
      </c>
      <c r="W165" s="23">
        <f t="shared" si="72"/>
        <v>49.10660535086909</v>
      </c>
      <c r="X165" s="65"/>
      <c r="Y165" s="66"/>
      <c r="Z165" s="67"/>
      <c r="AA165" s="55"/>
      <c r="AB165" s="58"/>
      <c r="AC165" s="83">
        <v>32</v>
      </c>
      <c r="AD165" s="84">
        <v>68.9</v>
      </c>
      <c r="AE165" s="22">
        <f t="shared" si="73"/>
        <v>27.99999999999997</v>
      </c>
      <c r="AF165" s="12">
        <f t="shared" si="74"/>
        <v>298</v>
      </c>
      <c r="AG165" s="12">
        <f t="shared" si="75"/>
        <v>49.10660535086909</v>
      </c>
      <c r="AH165" s="48"/>
      <c r="AI165" s="27"/>
    </row>
    <row r="166" spans="1:35" s="54" customFormat="1" ht="12.75" customHeight="1">
      <c r="A166" s="89">
        <f t="shared" si="76"/>
        <v>92.06</v>
      </c>
      <c r="B166" s="90" t="s">
        <v>49</v>
      </c>
      <c r="C166" s="80" t="s">
        <v>62</v>
      </c>
      <c r="D166" s="80">
        <v>2</v>
      </c>
      <c r="E166" s="76" t="s">
        <v>50</v>
      </c>
      <c r="F166" s="77">
        <v>22</v>
      </c>
      <c r="G166" s="78">
        <v>28</v>
      </c>
      <c r="H166" s="1">
        <f t="shared" si="63"/>
        <v>25</v>
      </c>
      <c r="I166" s="79"/>
      <c r="J166" s="55">
        <v>270</v>
      </c>
      <c r="K166" s="60">
        <v>42</v>
      </c>
      <c r="L166" s="60">
        <v>35</v>
      </c>
      <c r="M166" s="60">
        <v>0</v>
      </c>
      <c r="N166" s="60"/>
      <c r="O166" s="61"/>
      <c r="P166" s="38">
        <f t="shared" si="65"/>
        <v>-0.3837975486487285</v>
      </c>
      <c r="Q166" s="38">
        <f t="shared" si="66"/>
        <v>0.5481197040951914</v>
      </c>
      <c r="R166" s="38">
        <f t="shared" si="67"/>
        <v>0.6087486029925934</v>
      </c>
      <c r="S166" s="62">
        <f t="shared" si="68"/>
        <v>125</v>
      </c>
      <c r="T166" s="12">
        <f t="shared" si="69"/>
        <v>42.294687506405104</v>
      </c>
      <c r="U166" s="22">
        <f t="shared" si="70"/>
        <v>305</v>
      </c>
      <c r="V166" s="12">
        <f t="shared" si="71"/>
        <v>215</v>
      </c>
      <c r="W166" s="23">
        <f t="shared" si="72"/>
        <v>47.705312493594896</v>
      </c>
      <c r="X166" s="65"/>
      <c r="Y166" s="66"/>
      <c r="Z166" s="67"/>
      <c r="AA166" s="55"/>
      <c r="AB166" s="58"/>
      <c r="AC166" s="83">
        <v>32</v>
      </c>
      <c r="AD166" s="84">
        <v>68.9</v>
      </c>
      <c r="AE166" s="22">
        <f t="shared" si="73"/>
        <v>273</v>
      </c>
      <c r="AF166" s="12">
        <f t="shared" si="74"/>
        <v>183</v>
      </c>
      <c r="AG166" s="12">
        <f t="shared" si="75"/>
        <v>47.705312493594896</v>
      </c>
      <c r="AH166" s="48"/>
      <c r="AI166" s="27"/>
    </row>
    <row r="167" spans="1:39" s="54" customFormat="1" ht="12.75" customHeight="1">
      <c r="A167" s="89">
        <f t="shared" si="76"/>
        <v>92.165</v>
      </c>
      <c r="B167" s="90" t="s">
        <v>49</v>
      </c>
      <c r="C167" s="80" t="s">
        <v>62</v>
      </c>
      <c r="D167" s="80">
        <v>2</v>
      </c>
      <c r="E167" s="92" t="s">
        <v>144</v>
      </c>
      <c r="F167" s="77">
        <v>35</v>
      </c>
      <c r="G167" s="78">
        <v>36</v>
      </c>
      <c r="H167" s="1">
        <f t="shared" si="63"/>
        <v>35.5</v>
      </c>
      <c r="I167" s="79"/>
      <c r="J167" s="55">
        <v>270</v>
      </c>
      <c r="K167" s="60">
        <v>1</v>
      </c>
      <c r="L167" s="60">
        <v>103</v>
      </c>
      <c r="M167" s="60">
        <v>0</v>
      </c>
      <c r="N167" s="60"/>
      <c r="O167" s="61"/>
      <c r="P167" s="38">
        <f t="shared" si="65"/>
        <v>-0.01700510239095419</v>
      </c>
      <c r="Q167" s="38">
        <f t="shared" si="66"/>
        <v>-0.003925937228904579</v>
      </c>
      <c r="R167" s="38">
        <f t="shared" si="67"/>
        <v>-0.22491679320871352</v>
      </c>
      <c r="S167" s="62">
        <f t="shared" si="68"/>
        <v>193</v>
      </c>
      <c r="T167" s="12">
        <f t="shared" si="69"/>
        <v>-85.56302779352048</v>
      </c>
      <c r="U167" s="22">
        <f t="shared" si="70"/>
        <v>193</v>
      </c>
      <c r="V167" s="12">
        <f t="shared" si="71"/>
        <v>103</v>
      </c>
      <c r="W167" s="23">
        <f t="shared" si="72"/>
        <v>4.436972206479524</v>
      </c>
      <c r="X167" s="65"/>
      <c r="Y167" s="66"/>
      <c r="Z167" s="67"/>
      <c r="AA167" s="55"/>
      <c r="AB167" s="58"/>
      <c r="AC167" s="83">
        <v>32</v>
      </c>
      <c r="AD167" s="84">
        <v>68.9</v>
      </c>
      <c r="AE167" s="22">
        <f t="shared" si="73"/>
        <v>161</v>
      </c>
      <c r="AF167" s="12">
        <f t="shared" si="74"/>
        <v>71</v>
      </c>
      <c r="AG167" s="12">
        <f t="shared" si="75"/>
        <v>4.436972206479524</v>
      </c>
      <c r="AH167" s="48"/>
      <c r="AI167" s="27"/>
      <c r="AM167"/>
    </row>
    <row r="168" spans="1:35" s="54" customFormat="1" ht="12.75" customHeight="1">
      <c r="A168" s="89">
        <f t="shared" si="76"/>
        <v>92.3775</v>
      </c>
      <c r="B168" s="90" t="s">
        <v>49</v>
      </c>
      <c r="C168" s="80" t="s">
        <v>62</v>
      </c>
      <c r="D168" s="80">
        <v>2</v>
      </c>
      <c r="E168" s="76" t="s">
        <v>50</v>
      </c>
      <c r="F168" s="77">
        <v>54.5</v>
      </c>
      <c r="G168" s="78">
        <v>59</v>
      </c>
      <c r="H168" s="1">
        <f t="shared" si="63"/>
        <v>56.75</v>
      </c>
      <c r="I168" s="79"/>
      <c r="J168" s="55">
        <v>270</v>
      </c>
      <c r="K168" s="60">
        <v>35</v>
      </c>
      <c r="L168" s="60">
        <v>41</v>
      </c>
      <c r="M168" s="60">
        <v>0</v>
      </c>
      <c r="N168" s="60"/>
      <c r="O168" s="61"/>
      <c r="P168" s="38">
        <f t="shared" si="65"/>
        <v>-0.3762999998843027</v>
      </c>
      <c r="Q168" s="38">
        <f t="shared" si="66"/>
        <v>0.43288363150417153</v>
      </c>
      <c r="R168" s="38">
        <f t="shared" si="67"/>
        <v>0.6182218954839706</v>
      </c>
      <c r="S168" s="62">
        <f t="shared" si="68"/>
        <v>131</v>
      </c>
      <c r="T168" s="12">
        <f t="shared" si="69"/>
        <v>47.145330111264606</v>
      </c>
      <c r="U168" s="22">
        <f t="shared" si="70"/>
        <v>311</v>
      </c>
      <c r="V168" s="12">
        <f t="shared" si="71"/>
        <v>221</v>
      </c>
      <c r="W168" s="23">
        <f t="shared" si="72"/>
        <v>42.854669888735394</v>
      </c>
      <c r="X168" s="65"/>
      <c r="Y168" s="66"/>
      <c r="Z168" s="67"/>
      <c r="AA168" s="55"/>
      <c r="AB168" s="58"/>
      <c r="AC168" s="83">
        <v>32</v>
      </c>
      <c r="AD168" s="84">
        <v>68.9</v>
      </c>
      <c r="AE168" s="22">
        <f t="shared" si="73"/>
        <v>279</v>
      </c>
      <c r="AF168" s="12">
        <f t="shared" si="74"/>
        <v>189</v>
      </c>
      <c r="AG168" s="12">
        <f t="shared" si="75"/>
        <v>42.854669888735394</v>
      </c>
      <c r="AH168" s="48"/>
      <c r="AI168" s="27"/>
    </row>
    <row r="169" spans="1:38" s="54" customFormat="1" ht="12.75" customHeight="1">
      <c r="A169" s="89">
        <f t="shared" si="76"/>
        <v>92.655</v>
      </c>
      <c r="B169" s="90" t="s">
        <v>49</v>
      </c>
      <c r="C169" s="80" t="s">
        <v>62</v>
      </c>
      <c r="D169" s="80">
        <v>2</v>
      </c>
      <c r="E169" s="76" t="s">
        <v>63</v>
      </c>
      <c r="F169" s="77">
        <v>81</v>
      </c>
      <c r="G169" s="78">
        <v>88</v>
      </c>
      <c r="H169" s="1">
        <f t="shared" si="63"/>
        <v>84.5</v>
      </c>
      <c r="I169" s="79"/>
      <c r="J169" s="55">
        <v>90</v>
      </c>
      <c r="K169" s="60">
        <v>42</v>
      </c>
      <c r="L169" s="60">
        <v>79</v>
      </c>
      <c r="M169" s="60">
        <v>0</v>
      </c>
      <c r="N169" s="60"/>
      <c r="O169" s="61"/>
      <c r="P169" s="38">
        <f t="shared" si="65"/>
        <v>-0.6568367924786735</v>
      </c>
      <c r="Q169" s="38">
        <f t="shared" si="66"/>
        <v>0.1276761387750321</v>
      </c>
      <c r="R169" s="38">
        <f t="shared" si="67"/>
        <v>-0.14179871756861934</v>
      </c>
      <c r="S169" s="62">
        <f t="shared" si="68"/>
        <v>169</v>
      </c>
      <c r="T169" s="12">
        <f t="shared" si="69"/>
        <v>-11.964817845716137</v>
      </c>
      <c r="U169" s="22">
        <f t="shared" si="70"/>
        <v>169</v>
      </c>
      <c r="V169" s="12">
        <f t="shared" si="71"/>
        <v>79</v>
      </c>
      <c r="W169" s="23">
        <f t="shared" si="72"/>
        <v>78.03518215428386</v>
      </c>
      <c r="X169" s="65"/>
      <c r="Y169" s="66"/>
      <c r="Z169" s="67"/>
      <c r="AA169" s="55"/>
      <c r="AB169" s="58"/>
      <c r="AC169" s="83">
        <v>32</v>
      </c>
      <c r="AD169" s="84">
        <v>68.9</v>
      </c>
      <c r="AE169" s="22">
        <f t="shared" si="73"/>
        <v>137</v>
      </c>
      <c r="AF169" s="12">
        <f t="shared" si="74"/>
        <v>47</v>
      </c>
      <c r="AG169" s="12">
        <f t="shared" si="75"/>
        <v>78.03518215428386</v>
      </c>
      <c r="AH169" s="48"/>
      <c r="AI169" s="27"/>
      <c r="AL169"/>
    </row>
    <row r="170" spans="1:35" s="54" customFormat="1" ht="12.75" customHeight="1">
      <c r="A170" s="89">
        <f t="shared" si="76"/>
        <v>92.98</v>
      </c>
      <c r="B170" s="90" t="s">
        <v>49</v>
      </c>
      <c r="C170" s="80" t="s">
        <v>62</v>
      </c>
      <c r="D170" s="80">
        <v>2</v>
      </c>
      <c r="E170" s="76" t="s">
        <v>50</v>
      </c>
      <c r="F170" s="77">
        <v>115</v>
      </c>
      <c r="G170" s="78">
        <v>119</v>
      </c>
      <c r="H170" s="1">
        <f t="shared" si="63"/>
        <v>117</v>
      </c>
      <c r="I170" s="79"/>
      <c r="J170" s="55">
        <v>90</v>
      </c>
      <c r="K170" s="60">
        <v>34</v>
      </c>
      <c r="L170" s="60">
        <v>57</v>
      </c>
      <c r="M170" s="60">
        <v>0</v>
      </c>
      <c r="N170" s="60"/>
      <c r="O170" s="61"/>
      <c r="P170" s="38">
        <f t="shared" si="65"/>
        <v>-0.46897862994486195</v>
      </c>
      <c r="Q170" s="38">
        <f t="shared" si="66"/>
        <v>0.30455828333355883</v>
      </c>
      <c r="R170" s="38">
        <f t="shared" si="67"/>
        <v>-0.45152622350757843</v>
      </c>
      <c r="S170" s="62">
        <f t="shared" si="68"/>
        <v>147</v>
      </c>
      <c r="T170" s="12">
        <f t="shared" si="69"/>
        <v>-38.919507365652635</v>
      </c>
      <c r="U170" s="22">
        <f t="shared" si="70"/>
        <v>147</v>
      </c>
      <c r="V170" s="12">
        <f t="shared" si="71"/>
        <v>57</v>
      </c>
      <c r="W170" s="23">
        <f t="shared" si="72"/>
        <v>51.080492634347365</v>
      </c>
      <c r="X170" s="65"/>
      <c r="Y170" s="66"/>
      <c r="Z170" s="67"/>
      <c r="AA170" s="55"/>
      <c r="AB170" s="58"/>
      <c r="AC170" s="83">
        <v>32</v>
      </c>
      <c r="AD170" s="84">
        <v>68.9</v>
      </c>
      <c r="AE170" s="22">
        <f t="shared" si="73"/>
        <v>115</v>
      </c>
      <c r="AF170" s="12">
        <f t="shared" si="74"/>
        <v>25</v>
      </c>
      <c r="AG170" s="12">
        <f t="shared" si="75"/>
        <v>51.080492634347365</v>
      </c>
      <c r="AH170" s="48"/>
      <c r="AI170" s="27"/>
    </row>
    <row r="171" spans="1:39" s="54" customFormat="1" ht="12.75" customHeight="1">
      <c r="A171" s="89">
        <f aca="true" t="shared" si="77" ref="A171:A177">H171/100+93.153</f>
        <v>93.83800000000001</v>
      </c>
      <c r="B171" s="90" t="s">
        <v>49</v>
      </c>
      <c r="C171" s="80" t="s">
        <v>62</v>
      </c>
      <c r="D171" s="80">
        <v>3</v>
      </c>
      <c r="E171" s="76" t="s">
        <v>44</v>
      </c>
      <c r="F171" s="77">
        <v>68</v>
      </c>
      <c r="G171" s="78">
        <v>69</v>
      </c>
      <c r="H171" s="1">
        <f t="shared" si="63"/>
        <v>68.5</v>
      </c>
      <c r="I171" s="79"/>
      <c r="J171" s="55">
        <v>90</v>
      </c>
      <c r="K171" s="60">
        <v>6</v>
      </c>
      <c r="L171" s="60">
        <v>100</v>
      </c>
      <c r="M171" s="60">
        <v>0</v>
      </c>
      <c r="N171" s="60"/>
      <c r="O171" s="61"/>
      <c r="P171" s="38">
        <f t="shared" si="65"/>
        <v>-0.10294044103643693</v>
      </c>
      <c r="Q171" s="38">
        <f t="shared" si="66"/>
        <v>-0.018151177160752686</v>
      </c>
      <c r="R171" s="38">
        <f t="shared" si="67"/>
        <v>0.17269691478056223</v>
      </c>
      <c r="S171" s="62">
        <f t="shared" si="68"/>
        <v>190</v>
      </c>
      <c r="T171" s="12">
        <f t="shared" si="69"/>
        <v>58.81468946196831</v>
      </c>
      <c r="U171" s="22">
        <f t="shared" si="70"/>
        <v>10</v>
      </c>
      <c r="V171" s="12">
        <f t="shared" si="71"/>
        <v>280</v>
      </c>
      <c r="W171" s="23">
        <f t="shared" si="72"/>
        <v>31.185310538031693</v>
      </c>
      <c r="X171" s="65"/>
      <c r="Y171" s="66"/>
      <c r="Z171" s="67"/>
      <c r="AA171" s="55"/>
      <c r="AB171" s="58"/>
      <c r="AC171" s="83">
        <v>32</v>
      </c>
      <c r="AD171" s="84">
        <v>68.9</v>
      </c>
      <c r="AE171" s="22">
        <f t="shared" si="73"/>
        <v>338</v>
      </c>
      <c r="AF171" s="12">
        <f t="shared" si="74"/>
        <v>248</v>
      </c>
      <c r="AG171" s="12">
        <f t="shared" si="75"/>
        <v>31.185310538031693</v>
      </c>
      <c r="AH171" s="48"/>
      <c r="AI171" s="27"/>
      <c r="AJ171" s="54" t="s">
        <v>64</v>
      </c>
      <c r="AM171"/>
    </row>
    <row r="172" spans="1:39" s="54" customFormat="1" ht="12.75" customHeight="1">
      <c r="A172" s="89">
        <f t="shared" si="77"/>
        <v>93.848</v>
      </c>
      <c r="B172" s="90" t="s">
        <v>49</v>
      </c>
      <c r="C172" s="80" t="s">
        <v>62</v>
      </c>
      <c r="D172" s="80">
        <v>3</v>
      </c>
      <c r="E172" s="76" t="s">
        <v>44</v>
      </c>
      <c r="F172" s="77">
        <v>69</v>
      </c>
      <c r="G172" s="78">
        <v>70</v>
      </c>
      <c r="H172" s="1">
        <f t="shared" si="63"/>
        <v>69.5</v>
      </c>
      <c r="I172" s="79"/>
      <c r="J172" s="55">
        <v>90</v>
      </c>
      <c r="K172" s="60">
        <v>2</v>
      </c>
      <c r="L172" s="60">
        <v>82</v>
      </c>
      <c r="M172" s="60">
        <v>0</v>
      </c>
      <c r="N172" s="60"/>
      <c r="O172" s="61"/>
      <c r="P172" s="38">
        <f t="shared" si="65"/>
        <v>-0.03455985719963844</v>
      </c>
      <c r="Q172" s="38">
        <f t="shared" si="66"/>
        <v>0.004857071178032647</v>
      </c>
      <c r="R172" s="38">
        <f t="shared" si="67"/>
        <v>-0.1390883204672921</v>
      </c>
      <c r="S172" s="62">
        <f t="shared" si="68"/>
        <v>172</v>
      </c>
      <c r="T172" s="12">
        <f t="shared" si="69"/>
        <v>-75.91436695755868</v>
      </c>
      <c r="U172" s="22">
        <f t="shared" si="70"/>
        <v>172</v>
      </c>
      <c r="V172" s="12">
        <f t="shared" si="71"/>
        <v>82</v>
      </c>
      <c r="W172" s="23">
        <f t="shared" si="72"/>
        <v>14.085633042441316</v>
      </c>
      <c r="X172" s="65"/>
      <c r="Y172" s="66"/>
      <c r="Z172" s="67"/>
      <c r="AA172" s="55"/>
      <c r="AB172" s="58"/>
      <c r="AC172" s="83">
        <v>32</v>
      </c>
      <c r="AD172" s="84">
        <v>68.9</v>
      </c>
      <c r="AE172" s="22">
        <f t="shared" si="73"/>
        <v>140</v>
      </c>
      <c r="AF172" s="12">
        <f t="shared" si="74"/>
        <v>50</v>
      </c>
      <c r="AG172" s="12">
        <f t="shared" si="75"/>
        <v>14.085633042441316</v>
      </c>
      <c r="AH172" s="48"/>
      <c r="AI172" s="27"/>
      <c r="AM172"/>
    </row>
    <row r="173" spans="1:39" s="54" customFormat="1" ht="12.75" customHeight="1">
      <c r="A173" s="89">
        <f t="shared" si="77"/>
        <v>93.97800000000001</v>
      </c>
      <c r="B173" s="90" t="s">
        <v>49</v>
      </c>
      <c r="C173" s="80" t="s">
        <v>62</v>
      </c>
      <c r="D173" s="80">
        <v>3</v>
      </c>
      <c r="E173" s="76" t="s">
        <v>44</v>
      </c>
      <c r="F173" s="77">
        <v>82</v>
      </c>
      <c r="G173" s="78">
        <v>83</v>
      </c>
      <c r="H173" s="1">
        <f t="shared" si="63"/>
        <v>82.5</v>
      </c>
      <c r="I173" s="79"/>
      <c r="J173" s="55">
        <v>270</v>
      </c>
      <c r="K173" s="60">
        <v>6</v>
      </c>
      <c r="L173" s="60">
        <v>56</v>
      </c>
      <c r="M173" s="60">
        <v>0</v>
      </c>
      <c r="N173" s="60"/>
      <c r="O173" s="61"/>
      <c r="P173" s="38">
        <f t="shared" si="65"/>
        <v>-0.08665802345032426</v>
      </c>
      <c r="Q173" s="38">
        <f t="shared" si="66"/>
        <v>0.05845157486997444</v>
      </c>
      <c r="R173" s="38">
        <f t="shared" si="67"/>
        <v>0.5561295862362149</v>
      </c>
      <c r="S173" s="62">
        <f t="shared" si="68"/>
        <v>146</v>
      </c>
      <c r="T173" s="12">
        <f t="shared" si="69"/>
        <v>79.35505046607739</v>
      </c>
      <c r="U173" s="22">
        <f t="shared" si="70"/>
        <v>326</v>
      </c>
      <c r="V173" s="12">
        <f t="shared" si="71"/>
        <v>236</v>
      </c>
      <c r="W173" s="23">
        <f t="shared" si="72"/>
        <v>10.644949533922613</v>
      </c>
      <c r="X173" s="65"/>
      <c r="Y173" s="66"/>
      <c r="Z173" s="67"/>
      <c r="AA173" s="55"/>
      <c r="AB173" s="58"/>
      <c r="AC173" s="83">
        <v>32</v>
      </c>
      <c r="AD173" s="84">
        <v>68.9</v>
      </c>
      <c r="AE173" s="22">
        <f t="shared" si="73"/>
        <v>294</v>
      </c>
      <c r="AF173" s="12">
        <f t="shared" si="74"/>
        <v>204</v>
      </c>
      <c r="AG173" s="12">
        <f t="shared" si="75"/>
        <v>10.644949533922613</v>
      </c>
      <c r="AH173" s="48"/>
      <c r="AI173" s="27"/>
      <c r="AM173"/>
    </row>
    <row r="174" spans="1:39" s="54" customFormat="1" ht="12.75" customHeight="1">
      <c r="A174" s="89">
        <f t="shared" si="77"/>
        <v>93.99300000000001</v>
      </c>
      <c r="B174" s="90" t="s">
        <v>49</v>
      </c>
      <c r="C174" s="80" t="s">
        <v>62</v>
      </c>
      <c r="D174" s="80">
        <v>3</v>
      </c>
      <c r="E174" s="76" t="s">
        <v>44</v>
      </c>
      <c r="F174" s="77">
        <v>79</v>
      </c>
      <c r="G174" s="78">
        <v>89</v>
      </c>
      <c r="H174" s="1">
        <f t="shared" si="63"/>
        <v>84</v>
      </c>
      <c r="I174" s="79"/>
      <c r="J174" s="55">
        <v>270</v>
      </c>
      <c r="K174" s="60">
        <v>1</v>
      </c>
      <c r="L174" s="60">
        <v>84</v>
      </c>
      <c r="M174" s="60">
        <v>0</v>
      </c>
      <c r="N174" s="60"/>
      <c r="O174" s="61"/>
      <c r="P174" s="38">
        <f t="shared" si="65"/>
        <v>-0.01735680032874465</v>
      </c>
      <c r="Q174" s="38">
        <f t="shared" si="66"/>
        <v>0.0018242732252117483</v>
      </c>
      <c r="R174" s="38">
        <f t="shared" si="67"/>
        <v>0.10451254307640263</v>
      </c>
      <c r="S174" s="62">
        <f t="shared" si="68"/>
        <v>174</v>
      </c>
      <c r="T174" s="12">
        <f t="shared" si="69"/>
        <v>80.51973013353492</v>
      </c>
      <c r="U174" s="22">
        <f t="shared" si="70"/>
        <v>354</v>
      </c>
      <c r="V174" s="12">
        <f t="shared" si="71"/>
        <v>264</v>
      </c>
      <c r="W174" s="23">
        <f t="shared" si="72"/>
        <v>9.480269866465079</v>
      </c>
      <c r="X174" s="65"/>
      <c r="Y174" s="66"/>
      <c r="Z174" s="67"/>
      <c r="AA174" s="55"/>
      <c r="AB174" s="58"/>
      <c r="AC174" s="83">
        <v>32</v>
      </c>
      <c r="AD174" s="84">
        <v>68.9</v>
      </c>
      <c r="AE174" s="22">
        <f t="shared" si="73"/>
        <v>322</v>
      </c>
      <c r="AF174" s="12">
        <f t="shared" si="74"/>
        <v>232</v>
      </c>
      <c r="AG174" s="12">
        <f t="shared" si="75"/>
        <v>9.480269866465079</v>
      </c>
      <c r="AH174" s="48"/>
      <c r="AI174" s="27"/>
      <c r="AM174"/>
    </row>
    <row r="175" spans="1:39" s="54" customFormat="1" ht="12.75" customHeight="1">
      <c r="A175" s="89">
        <f t="shared" si="77"/>
        <v>94.028</v>
      </c>
      <c r="B175" s="90" t="s">
        <v>49</v>
      </c>
      <c r="C175" s="80" t="s">
        <v>62</v>
      </c>
      <c r="D175" s="80">
        <v>3</v>
      </c>
      <c r="E175" s="76" t="s">
        <v>44</v>
      </c>
      <c r="F175" s="77">
        <v>87</v>
      </c>
      <c r="G175" s="78">
        <v>88</v>
      </c>
      <c r="H175" s="1">
        <f t="shared" si="63"/>
        <v>87.5</v>
      </c>
      <c r="I175" s="79"/>
      <c r="J175" s="55">
        <v>270</v>
      </c>
      <c r="K175" s="60">
        <v>4</v>
      </c>
      <c r="L175" s="60">
        <v>73</v>
      </c>
      <c r="M175" s="60">
        <v>0</v>
      </c>
      <c r="N175" s="60"/>
      <c r="O175" s="61"/>
      <c r="P175" s="38">
        <f t="shared" si="65"/>
        <v>-0.06670844760071763</v>
      </c>
      <c r="Q175" s="38">
        <f t="shared" si="66"/>
        <v>0.020394819144016745</v>
      </c>
      <c r="R175" s="38">
        <f t="shared" si="67"/>
        <v>0.2916595019445825</v>
      </c>
      <c r="S175" s="62">
        <f t="shared" si="68"/>
        <v>163</v>
      </c>
      <c r="T175" s="12">
        <f t="shared" si="69"/>
        <v>76.5491903716004</v>
      </c>
      <c r="U175" s="22">
        <f t="shared" si="70"/>
        <v>343</v>
      </c>
      <c r="V175" s="12">
        <f t="shared" si="71"/>
        <v>253</v>
      </c>
      <c r="W175" s="23">
        <f t="shared" si="72"/>
        <v>13.450809628399597</v>
      </c>
      <c r="X175" s="65"/>
      <c r="Y175" s="66"/>
      <c r="Z175" s="67"/>
      <c r="AA175" s="55"/>
      <c r="AB175" s="58"/>
      <c r="AC175" s="83">
        <v>32</v>
      </c>
      <c r="AD175" s="84">
        <v>68.9</v>
      </c>
      <c r="AE175" s="22">
        <f t="shared" si="73"/>
        <v>311</v>
      </c>
      <c r="AF175" s="12">
        <f t="shared" si="74"/>
        <v>221</v>
      </c>
      <c r="AG175" s="12">
        <f t="shared" si="75"/>
        <v>13.450809628399597</v>
      </c>
      <c r="AH175" s="48"/>
      <c r="AI175" s="27"/>
      <c r="AM175"/>
    </row>
    <row r="176" spans="1:35" s="54" customFormat="1" ht="12.75" customHeight="1">
      <c r="A176" s="89">
        <f t="shared" si="77"/>
        <v>94.223</v>
      </c>
      <c r="B176" s="90" t="s">
        <v>49</v>
      </c>
      <c r="C176" s="80" t="s">
        <v>62</v>
      </c>
      <c r="D176" s="80">
        <v>3</v>
      </c>
      <c r="E176" s="76" t="s">
        <v>50</v>
      </c>
      <c r="F176" s="77">
        <v>103</v>
      </c>
      <c r="G176" s="78">
        <v>111</v>
      </c>
      <c r="H176" s="1">
        <f t="shared" si="63"/>
        <v>107</v>
      </c>
      <c r="I176" s="79"/>
      <c r="J176" s="55">
        <v>270</v>
      </c>
      <c r="K176" s="60">
        <v>48</v>
      </c>
      <c r="L176" s="60">
        <v>284</v>
      </c>
      <c r="M176" s="60">
        <v>0</v>
      </c>
      <c r="N176" s="60"/>
      <c r="O176" s="61"/>
      <c r="P176" s="38">
        <f t="shared" si="65"/>
        <v>0.7210702481648369</v>
      </c>
      <c r="Q176" s="38">
        <f t="shared" si="66"/>
        <v>0.17978300488457524</v>
      </c>
      <c r="R176" s="38">
        <f t="shared" si="67"/>
        <v>0.16187734469409</v>
      </c>
      <c r="S176" s="62">
        <f t="shared" si="68"/>
        <v>13.999999999999984</v>
      </c>
      <c r="T176" s="12">
        <f t="shared" si="69"/>
        <v>12.28863337043743</v>
      </c>
      <c r="U176" s="22">
        <f t="shared" si="70"/>
        <v>193.99999999999997</v>
      </c>
      <c r="V176" s="12">
        <f t="shared" si="71"/>
        <v>103.99999999999997</v>
      </c>
      <c r="W176" s="23">
        <f t="shared" si="72"/>
        <v>77.71136662956258</v>
      </c>
      <c r="X176" s="65"/>
      <c r="Y176" s="66"/>
      <c r="Z176" s="67"/>
      <c r="AA176" s="55"/>
      <c r="AB176" s="58"/>
      <c r="AC176" s="83">
        <v>32</v>
      </c>
      <c r="AD176" s="84">
        <v>68.9</v>
      </c>
      <c r="AE176" s="22">
        <f t="shared" si="73"/>
        <v>161.99999999999997</v>
      </c>
      <c r="AF176" s="12">
        <f t="shared" si="74"/>
        <v>71.99999999999997</v>
      </c>
      <c r="AG176" s="12">
        <f t="shared" si="75"/>
        <v>77.71136662956258</v>
      </c>
      <c r="AH176" s="48"/>
      <c r="AI176" s="27"/>
    </row>
    <row r="177" spans="1:35" s="54" customFormat="1" ht="12.75" customHeight="1">
      <c r="A177" s="89">
        <f t="shared" si="77"/>
        <v>94.32300000000001</v>
      </c>
      <c r="B177" s="90" t="s">
        <v>49</v>
      </c>
      <c r="C177" s="80" t="s">
        <v>62</v>
      </c>
      <c r="D177" s="80">
        <v>3</v>
      </c>
      <c r="E177" s="76" t="s">
        <v>50</v>
      </c>
      <c r="F177" s="77">
        <v>116</v>
      </c>
      <c r="G177" s="78">
        <v>118</v>
      </c>
      <c r="H177" s="1">
        <f t="shared" si="63"/>
        <v>117</v>
      </c>
      <c r="I177" s="79"/>
      <c r="J177" s="55">
        <v>90</v>
      </c>
      <c r="K177" s="60">
        <v>22</v>
      </c>
      <c r="L177" s="60">
        <v>302</v>
      </c>
      <c r="M177" s="60">
        <v>0</v>
      </c>
      <c r="N177" s="60"/>
      <c r="O177" s="61"/>
      <c r="P177" s="38">
        <f t="shared" si="65"/>
        <v>0.3176844083540086</v>
      </c>
      <c r="Q177" s="38">
        <f t="shared" si="66"/>
        <v>0.19851125035986736</v>
      </c>
      <c r="R177" s="38">
        <f t="shared" si="67"/>
        <v>-0.4913325860209387</v>
      </c>
      <c r="S177" s="62">
        <f t="shared" si="68"/>
        <v>31.999999999999986</v>
      </c>
      <c r="T177" s="12">
        <f t="shared" si="69"/>
        <v>-52.67702388841952</v>
      </c>
      <c r="U177" s="22">
        <f t="shared" si="70"/>
        <v>31.999999999999986</v>
      </c>
      <c r="V177" s="12">
        <f t="shared" si="71"/>
        <v>302</v>
      </c>
      <c r="W177" s="23">
        <f t="shared" si="72"/>
        <v>37.32297611158048</v>
      </c>
      <c r="X177" s="65"/>
      <c r="Y177" s="66"/>
      <c r="Z177" s="67"/>
      <c r="AA177" s="55"/>
      <c r="AB177" s="58"/>
      <c r="AC177" s="83">
        <v>32</v>
      </c>
      <c r="AD177" s="84">
        <v>68.9</v>
      </c>
      <c r="AE177" s="22">
        <f t="shared" si="73"/>
        <v>-1.4210854715202004E-14</v>
      </c>
      <c r="AF177" s="12">
        <f t="shared" si="74"/>
        <v>270</v>
      </c>
      <c r="AG177" s="12">
        <f t="shared" si="75"/>
        <v>37.32297611158048</v>
      </c>
      <c r="AH177" s="48"/>
      <c r="AI177" s="27"/>
    </row>
    <row r="178" spans="1:36" s="54" customFormat="1" ht="12.75" customHeight="1">
      <c r="A178" s="89">
        <f>H178/100+94.477</f>
        <v>94.867</v>
      </c>
      <c r="B178" s="90" t="s">
        <v>49</v>
      </c>
      <c r="C178" s="80" t="s">
        <v>62</v>
      </c>
      <c r="D178" s="80">
        <v>4</v>
      </c>
      <c r="E178" s="76" t="s">
        <v>50</v>
      </c>
      <c r="F178" s="77">
        <v>35</v>
      </c>
      <c r="G178" s="78">
        <v>43</v>
      </c>
      <c r="H178" s="1">
        <f t="shared" si="63"/>
        <v>39</v>
      </c>
      <c r="I178" s="79"/>
      <c r="J178" s="55">
        <v>90</v>
      </c>
      <c r="K178" s="60">
        <v>50</v>
      </c>
      <c r="L178" s="60">
        <v>88</v>
      </c>
      <c r="M178" s="60">
        <v>0</v>
      </c>
      <c r="N178" s="60"/>
      <c r="O178" s="61"/>
      <c r="P178" s="38">
        <f t="shared" si="65"/>
        <v>-0.7655777895420581</v>
      </c>
      <c r="Q178" s="38">
        <f t="shared" si="66"/>
        <v>0.02673456551660005</v>
      </c>
      <c r="R178" s="38">
        <f t="shared" si="67"/>
        <v>-0.022432964064663895</v>
      </c>
      <c r="S178" s="62">
        <f t="shared" si="68"/>
        <v>178</v>
      </c>
      <c r="T178" s="12">
        <f t="shared" si="69"/>
        <v>-1.6773791015277482</v>
      </c>
      <c r="U178" s="22">
        <f t="shared" si="70"/>
        <v>178</v>
      </c>
      <c r="V178" s="12">
        <f t="shared" si="71"/>
        <v>88</v>
      </c>
      <c r="W178" s="23">
        <f t="shared" si="72"/>
        <v>88.32262089847225</v>
      </c>
      <c r="X178" s="65"/>
      <c r="Y178" s="66"/>
      <c r="Z178" s="67" t="s">
        <v>51</v>
      </c>
      <c r="AA178" s="55"/>
      <c r="AB178" s="58"/>
      <c r="AC178" s="83">
        <v>32</v>
      </c>
      <c r="AD178" s="84">
        <v>68.9</v>
      </c>
      <c r="AE178" s="22">
        <f t="shared" si="73"/>
        <v>146</v>
      </c>
      <c r="AF178" s="12">
        <f t="shared" si="74"/>
        <v>56</v>
      </c>
      <c r="AG178" s="12">
        <f t="shared" si="75"/>
        <v>88.32262089847225</v>
      </c>
      <c r="AH178" s="48"/>
      <c r="AI178" s="27" t="str">
        <f>Z178</f>
        <v>N</v>
      </c>
      <c r="AJ178" s="54" t="s">
        <v>65</v>
      </c>
    </row>
    <row r="179" spans="1:36" s="54" customFormat="1" ht="12.75" customHeight="1">
      <c r="A179" s="89">
        <f>H179/100+94.477</f>
        <v>94.962</v>
      </c>
      <c r="B179" s="90" t="s">
        <v>49</v>
      </c>
      <c r="C179" s="80" t="s">
        <v>62</v>
      </c>
      <c r="D179" s="80">
        <v>4</v>
      </c>
      <c r="E179" s="76" t="s">
        <v>50</v>
      </c>
      <c r="F179" s="77">
        <v>47</v>
      </c>
      <c r="G179" s="78">
        <v>50</v>
      </c>
      <c r="H179" s="1">
        <f t="shared" si="63"/>
        <v>48.5</v>
      </c>
      <c r="I179" s="79"/>
      <c r="J179" s="55">
        <v>90</v>
      </c>
      <c r="K179" s="60">
        <v>32</v>
      </c>
      <c r="L179" s="60">
        <v>70</v>
      </c>
      <c r="M179" s="60">
        <v>0</v>
      </c>
      <c r="N179" s="60"/>
      <c r="O179" s="61"/>
      <c r="P179" s="38">
        <f t="shared" si="65"/>
        <v>-0.49796122221224054</v>
      </c>
      <c r="Q179" s="38">
        <f t="shared" si="66"/>
        <v>0.1812430627040737</v>
      </c>
      <c r="R179" s="38">
        <f t="shared" si="67"/>
        <v>-0.2900495313944813</v>
      </c>
      <c r="S179" s="62">
        <f t="shared" si="68"/>
        <v>160</v>
      </c>
      <c r="T179" s="12">
        <f t="shared" si="69"/>
        <v>-28.693944333074423</v>
      </c>
      <c r="U179" s="22">
        <f t="shared" si="70"/>
        <v>160</v>
      </c>
      <c r="V179" s="12">
        <f t="shared" si="71"/>
        <v>70</v>
      </c>
      <c r="W179" s="23">
        <f t="shared" si="72"/>
        <v>61.30605566692557</v>
      </c>
      <c r="X179" s="65"/>
      <c r="Y179" s="66"/>
      <c r="Z179" s="67" t="s">
        <v>51</v>
      </c>
      <c r="AA179" s="55"/>
      <c r="AB179" s="58"/>
      <c r="AC179" s="83">
        <v>32</v>
      </c>
      <c r="AD179" s="84">
        <v>68.9</v>
      </c>
      <c r="AE179" s="22">
        <f t="shared" si="73"/>
        <v>128</v>
      </c>
      <c r="AF179" s="12">
        <f t="shared" si="74"/>
        <v>38</v>
      </c>
      <c r="AG179" s="12">
        <f t="shared" si="75"/>
        <v>61.30605566692557</v>
      </c>
      <c r="AH179" s="48"/>
      <c r="AI179" s="27" t="str">
        <f>Z179</f>
        <v>N</v>
      </c>
      <c r="AJ179" s="54" t="s">
        <v>59</v>
      </c>
    </row>
    <row r="180" spans="1:35" s="54" customFormat="1" ht="12.75" customHeight="1">
      <c r="A180" s="89">
        <f>H180/100+94.477</f>
        <v>95.057</v>
      </c>
      <c r="B180" s="90" t="s">
        <v>49</v>
      </c>
      <c r="C180" s="80" t="s">
        <v>62</v>
      </c>
      <c r="D180" s="80">
        <v>4</v>
      </c>
      <c r="E180" s="76" t="s">
        <v>50</v>
      </c>
      <c r="F180" s="77">
        <v>50</v>
      </c>
      <c r="G180" s="78">
        <v>66</v>
      </c>
      <c r="H180" s="1">
        <f t="shared" si="63"/>
        <v>58</v>
      </c>
      <c r="I180" s="79"/>
      <c r="J180" s="55">
        <v>99</v>
      </c>
      <c r="K180" s="60">
        <v>69</v>
      </c>
      <c r="L180" s="60">
        <v>27</v>
      </c>
      <c r="M180" s="60">
        <v>0</v>
      </c>
      <c r="N180" s="60"/>
      <c r="O180" s="61"/>
      <c r="P180" s="38">
        <f t="shared" si="65"/>
        <v>-0.42383664437252383</v>
      </c>
      <c r="Q180" s="38">
        <f t="shared" si="66"/>
        <v>0.8318262508635658</v>
      </c>
      <c r="R180" s="38">
        <f t="shared" si="67"/>
        <v>-0.3408281736463908</v>
      </c>
      <c r="S180" s="62">
        <f t="shared" si="68"/>
        <v>117</v>
      </c>
      <c r="T180" s="12">
        <f t="shared" si="69"/>
        <v>-20.055944419953818</v>
      </c>
      <c r="U180" s="22">
        <f t="shared" si="70"/>
        <v>117</v>
      </c>
      <c r="V180" s="12">
        <f t="shared" si="71"/>
        <v>27</v>
      </c>
      <c r="W180" s="23">
        <f t="shared" si="72"/>
        <v>69.94405558004618</v>
      </c>
      <c r="X180" s="65"/>
      <c r="Y180" s="66"/>
      <c r="Z180" s="67"/>
      <c r="AA180" s="55"/>
      <c r="AB180" s="58"/>
      <c r="AC180" s="83">
        <v>32</v>
      </c>
      <c r="AD180" s="84">
        <v>68.9</v>
      </c>
      <c r="AE180" s="22">
        <f t="shared" si="73"/>
        <v>85</v>
      </c>
      <c r="AF180" s="12">
        <f t="shared" si="74"/>
        <v>355</v>
      </c>
      <c r="AG180" s="12">
        <f t="shared" si="75"/>
        <v>69.94405558004618</v>
      </c>
      <c r="AH180" s="48"/>
      <c r="AI180" s="27"/>
    </row>
    <row r="181" spans="1:38" s="54" customFormat="1" ht="12.75" customHeight="1">
      <c r="A181" s="89">
        <f>H181/100+94.477</f>
        <v>95.572</v>
      </c>
      <c r="B181" s="90" t="s">
        <v>49</v>
      </c>
      <c r="C181" s="80" t="s">
        <v>62</v>
      </c>
      <c r="D181" s="80">
        <v>4</v>
      </c>
      <c r="E181" s="76" t="s">
        <v>63</v>
      </c>
      <c r="F181" s="77">
        <v>103</v>
      </c>
      <c r="G181" s="78">
        <v>116</v>
      </c>
      <c r="H181" s="1">
        <f t="shared" si="63"/>
        <v>109.5</v>
      </c>
      <c r="I181" s="79"/>
      <c r="J181" s="55">
        <v>90</v>
      </c>
      <c r="K181" s="60">
        <v>55</v>
      </c>
      <c r="L181" s="60">
        <v>34</v>
      </c>
      <c r="M181" s="60">
        <v>0</v>
      </c>
      <c r="N181" s="60"/>
      <c r="O181" s="61"/>
      <c r="P181" s="38">
        <f t="shared" si="65"/>
        <v>-0.45806401002995917</v>
      </c>
      <c r="Q181" s="38">
        <f t="shared" si="66"/>
        <v>0.6791078223508457</v>
      </c>
      <c r="R181" s="38">
        <f t="shared" si="67"/>
        <v>-0.47551641646724263</v>
      </c>
      <c r="S181" s="62">
        <f t="shared" si="68"/>
        <v>124</v>
      </c>
      <c r="T181" s="12">
        <f t="shared" si="69"/>
        <v>-30.135094734805826</v>
      </c>
      <c r="U181" s="22">
        <f t="shared" si="70"/>
        <v>124</v>
      </c>
      <c r="V181" s="12">
        <f t="shared" si="71"/>
        <v>34</v>
      </c>
      <c r="W181" s="23">
        <f t="shared" si="72"/>
        <v>59.864905265194174</v>
      </c>
      <c r="X181" s="65"/>
      <c r="Y181" s="66"/>
      <c r="Z181" s="67"/>
      <c r="AA181" s="55"/>
      <c r="AB181" s="58"/>
      <c r="AC181" s="83">
        <v>32</v>
      </c>
      <c r="AD181" s="84">
        <v>68.9</v>
      </c>
      <c r="AE181" s="22">
        <f t="shared" si="73"/>
        <v>92</v>
      </c>
      <c r="AF181" s="12">
        <f t="shared" si="74"/>
        <v>2</v>
      </c>
      <c r="AG181" s="12">
        <f t="shared" si="75"/>
        <v>59.864905265194174</v>
      </c>
      <c r="AH181" s="48"/>
      <c r="AI181" s="27"/>
      <c r="AL181"/>
    </row>
    <row r="182" spans="1:35" s="54" customFormat="1" ht="12.75" customHeight="1">
      <c r="A182" s="89">
        <f>H182/100+95.824</f>
        <v>96.279</v>
      </c>
      <c r="B182" s="90" t="s">
        <v>49</v>
      </c>
      <c r="C182" s="80" t="s">
        <v>62</v>
      </c>
      <c r="D182" s="80">
        <v>6</v>
      </c>
      <c r="E182" s="76" t="s">
        <v>50</v>
      </c>
      <c r="F182" s="77">
        <v>40</v>
      </c>
      <c r="G182" s="78">
        <v>51</v>
      </c>
      <c r="H182" s="1">
        <f t="shared" si="63"/>
        <v>45.5</v>
      </c>
      <c r="I182" s="79"/>
      <c r="J182" s="55">
        <v>90</v>
      </c>
      <c r="K182" s="60">
        <v>56</v>
      </c>
      <c r="L182" s="60">
        <v>23</v>
      </c>
      <c r="M182" s="60">
        <v>0</v>
      </c>
      <c r="N182" s="60"/>
      <c r="O182" s="61"/>
      <c r="P182" s="38">
        <f t="shared" si="65"/>
        <v>-0.3239307862844396</v>
      </c>
      <c r="Q182" s="38">
        <f t="shared" si="66"/>
        <v>0.7631331092313456</v>
      </c>
      <c r="R182" s="38">
        <f t="shared" si="67"/>
        <v>-0.5147397816609844</v>
      </c>
      <c r="S182" s="62">
        <f t="shared" si="68"/>
        <v>112.99999999999999</v>
      </c>
      <c r="T182" s="12">
        <f t="shared" si="69"/>
        <v>-31.83566464957844</v>
      </c>
      <c r="U182" s="22">
        <f t="shared" si="70"/>
        <v>112.99999999999999</v>
      </c>
      <c r="V182" s="12">
        <f t="shared" si="71"/>
        <v>22.999999999999986</v>
      </c>
      <c r="W182" s="23">
        <f t="shared" si="72"/>
        <v>58.16433535042156</v>
      </c>
      <c r="X182" s="65"/>
      <c r="Y182" s="66"/>
      <c r="Z182" s="67"/>
      <c r="AA182" s="55"/>
      <c r="AB182" s="58"/>
      <c r="AC182" s="83">
        <v>32</v>
      </c>
      <c r="AD182" s="84">
        <v>68.9</v>
      </c>
      <c r="AE182" s="22">
        <f t="shared" si="73"/>
        <v>80.99999999999999</v>
      </c>
      <c r="AF182" s="12">
        <f t="shared" si="74"/>
        <v>351</v>
      </c>
      <c r="AG182" s="12">
        <f t="shared" si="75"/>
        <v>58.16433535042156</v>
      </c>
      <c r="AH182" s="48"/>
      <c r="AI182" s="27"/>
    </row>
    <row r="183" spans="1:39" s="54" customFormat="1" ht="12.75" customHeight="1">
      <c r="A183" s="89">
        <f>H183/100+95.824</f>
        <v>96.469</v>
      </c>
      <c r="B183" s="90" t="s">
        <v>49</v>
      </c>
      <c r="C183" s="80" t="s">
        <v>62</v>
      </c>
      <c r="D183" s="80">
        <v>6</v>
      </c>
      <c r="E183" s="76" t="s">
        <v>44</v>
      </c>
      <c r="F183" s="77">
        <v>64</v>
      </c>
      <c r="G183" s="78">
        <v>65</v>
      </c>
      <c r="H183" s="1">
        <f t="shared" si="63"/>
        <v>64.5</v>
      </c>
      <c r="I183" s="79"/>
      <c r="J183" s="55">
        <v>270</v>
      </c>
      <c r="K183" s="60">
        <v>5</v>
      </c>
      <c r="L183" s="60">
        <v>64</v>
      </c>
      <c r="M183" s="60">
        <v>0</v>
      </c>
      <c r="N183" s="60"/>
      <c r="O183" s="61"/>
      <c r="P183" s="38">
        <f t="shared" si="65"/>
        <v>-0.07833506268237697</v>
      </c>
      <c r="Q183" s="38">
        <f t="shared" si="66"/>
        <v>0.03820656289754473</v>
      </c>
      <c r="R183" s="38">
        <f t="shared" si="67"/>
        <v>0.4367030122276771</v>
      </c>
      <c r="S183" s="62">
        <f t="shared" si="68"/>
        <v>154</v>
      </c>
      <c r="T183" s="12">
        <f t="shared" si="69"/>
        <v>78.71339032532019</v>
      </c>
      <c r="U183" s="22">
        <f t="shared" si="70"/>
        <v>334</v>
      </c>
      <c r="V183" s="12">
        <f t="shared" si="71"/>
        <v>244</v>
      </c>
      <c r="W183" s="23">
        <f t="shared" si="72"/>
        <v>11.28660967467981</v>
      </c>
      <c r="X183" s="65"/>
      <c r="Y183" s="66"/>
      <c r="Z183" s="67"/>
      <c r="AA183" s="55"/>
      <c r="AB183" s="58"/>
      <c r="AC183" s="83">
        <v>32</v>
      </c>
      <c r="AD183" s="84">
        <v>68.9</v>
      </c>
      <c r="AE183" s="22">
        <f t="shared" si="73"/>
        <v>302</v>
      </c>
      <c r="AF183" s="12">
        <f t="shared" si="74"/>
        <v>212</v>
      </c>
      <c r="AG183" s="12">
        <f t="shared" si="75"/>
        <v>11.28660967467981</v>
      </c>
      <c r="AH183" s="48"/>
      <c r="AI183" s="27"/>
      <c r="AM183"/>
    </row>
    <row r="184" spans="1:35" s="54" customFormat="1" ht="12.75" customHeight="1">
      <c r="A184" s="89">
        <f>H184/100+97.158</f>
        <v>97.793</v>
      </c>
      <c r="B184" s="90" t="s">
        <v>49</v>
      </c>
      <c r="C184" s="80" t="s">
        <v>62</v>
      </c>
      <c r="D184" s="80">
        <v>7</v>
      </c>
      <c r="E184" s="76" t="s">
        <v>50</v>
      </c>
      <c r="F184" s="77">
        <v>62</v>
      </c>
      <c r="G184" s="78">
        <v>65</v>
      </c>
      <c r="H184" s="1">
        <f t="shared" si="63"/>
        <v>63.5</v>
      </c>
      <c r="I184" s="79"/>
      <c r="J184" s="55">
        <v>90</v>
      </c>
      <c r="K184" s="60">
        <v>25</v>
      </c>
      <c r="L184" s="60">
        <v>26</v>
      </c>
      <c r="M184" s="60">
        <v>0</v>
      </c>
      <c r="N184" s="60"/>
      <c r="O184" s="61"/>
      <c r="P184" s="38">
        <f t="shared" si="65"/>
        <v>-0.18526365205327688</v>
      </c>
      <c r="Q184" s="38">
        <f t="shared" si="66"/>
        <v>0.3798467775098437</v>
      </c>
      <c r="R184" s="38">
        <f t="shared" si="67"/>
        <v>-0.8145840431031144</v>
      </c>
      <c r="S184" s="62">
        <f t="shared" si="68"/>
        <v>116</v>
      </c>
      <c r="T184" s="12">
        <f t="shared" si="69"/>
        <v>-62.57904727199046</v>
      </c>
      <c r="U184" s="22">
        <f t="shared" si="70"/>
        <v>116</v>
      </c>
      <c r="V184" s="12">
        <f t="shared" si="71"/>
        <v>26</v>
      </c>
      <c r="W184" s="23">
        <f t="shared" si="72"/>
        <v>27.42095272800954</v>
      </c>
      <c r="X184" s="65"/>
      <c r="Y184" s="66"/>
      <c r="Z184" s="67"/>
      <c r="AA184" s="55"/>
      <c r="AB184" s="58"/>
      <c r="AC184" s="83">
        <v>32</v>
      </c>
      <c r="AD184" s="84">
        <v>68.9</v>
      </c>
      <c r="AE184" s="22">
        <f t="shared" si="73"/>
        <v>84</v>
      </c>
      <c r="AF184" s="12">
        <f t="shared" si="74"/>
        <v>354</v>
      </c>
      <c r="AG184" s="12">
        <f t="shared" si="75"/>
        <v>27.42095272800954</v>
      </c>
      <c r="AH184" s="48"/>
      <c r="AI184" s="27"/>
    </row>
    <row r="185" spans="1:35" s="54" customFormat="1" ht="12.75" customHeight="1">
      <c r="A185" s="89">
        <f>H185/100+97.158</f>
        <v>97.82300000000001</v>
      </c>
      <c r="B185" s="90" t="s">
        <v>49</v>
      </c>
      <c r="C185" s="80" t="s">
        <v>62</v>
      </c>
      <c r="D185" s="80">
        <v>7</v>
      </c>
      <c r="E185" s="76" t="s">
        <v>50</v>
      </c>
      <c r="F185" s="77">
        <v>63</v>
      </c>
      <c r="G185" s="78">
        <v>70</v>
      </c>
      <c r="H185" s="1">
        <f t="shared" si="63"/>
        <v>66.5</v>
      </c>
      <c r="I185" s="79"/>
      <c r="J185" s="55">
        <v>90</v>
      </c>
      <c r="K185" s="60">
        <v>42</v>
      </c>
      <c r="L185" s="60">
        <v>45</v>
      </c>
      <c r="M185" s="60">
        <v>0</v>
      </c>
      <c r="N185" s="60"/>
      <c r="O185" s="61"/>
      <c r="P185" s="38">
        <f t="shared" si="65"/>
        <v>-0.473146789255815</v>
      </c>
      <c r="Q185" s="38">
        <f t="shared" si="66"/>
        <v>0.47314678925581505</v>
      </c>
      <c r="R185" s="38">
        <f t="shared" si="67"/>
        <v>-0.5254827454987588</v>
      </c>
      <c r="S185" s="62">
        <f t="shared" si="68"/>
        <v>135</v>
      </c>
      <c r="T185" s="12">
        <f t="shared" si="69"/>
        <v>-38.14331417046243</v>
      </c>
      <c r="U185" s="22">
        <f t="shared" si="70"/>
        <v>135</v>
      </c>
      <c r="V185" s="12">
        <f t="shared" si="71"/>
        <v>45</v>
      </c>
      <c r="W185" s="23">
        <f t="shared" si="72"/>
        <v>51.85668582953757</v>
      </c>
      <c r="X185" s="65"/>
      <c r="Y185" s="66"/>
      <c r="Z185" s="67"/>
      <c r="AA185" s="55"/>
      <c r="AB185" s="58"/>
      <c r="AC185" s="83">
        <v>32</v>
      </c>
      <c r="AD185" s="84">
        <v>68.9</v>
      </c>
      <c r="AE185" s="22">
        <f t="shared" si="73"/>
        <v>103</v>
      </c>
      <c r="AF185" s="12">
        <f t="shared" si="74"/>
        <v>13</v>
      </c>
      <c r="AG185" s="12">
        <f t="shared" si="75"/>
        <v>51.85668582953757</v>
      </c>
      <c r="AH185" s="48"/>
      <c r="AI185" s="27"/>
    </row>
    <row r="186" spans="1:39" s="54" customFormat="1" ht="12.75" customHeight="1">
      <c r="A186" s="89">
        <f>H186/100+97.158</f>
        <v>98.033</v>
      </c>
      <c r="B186" s="90" t="s">
        <v>49</v>
      </c>
      <c r="C186" s="80" t="s">
        <v>62</v>
      </c>
      <c r="D186" s="80">
        <v>7</v>
      </c>
      <c r="E186" s="76" t="s">
        <v>44</v>
      </c>
      <c r="F186" s="77">
        <v>87</v>
      </c>
      <c r="G186" s="78">
        <v>88</v>
      </c>
      <c r="H186" s="1">
        <f t="shared" si="63"/>
        <v>87.5</v>
      </c>
      <c r="I186" s="79"/>
      <c r="J186" s="55">
        <v>270</v>
      </c>
      <c r="K186" s="60">
        <v>10</v>
      </c>
      <c r="L186" s="60">
        <v>71</v>
      </c>
      <c r="M186" s="60">
        <v>0</v>
      </c>
      <c r="N186" s="60"/>
      <c r="O186" s="61"/>
      <c r="P186" s="38">
        <f aca="true" t="shared" si="78" ref="P186:P191">COS(K186*PI()/180)*SIN(J186*PI()/180)*(SIN((M186)*PI()/180))-(COS((M186)*PI()/180)*SIN(L186*PI()/180))*(SIN(K186*PI()/180))</f>
        <v>-0.16418757760305305</v>
      </c>
      <c r="Q186" s="38">
        <f aca="true" t="shared" si="79" ref="Q186:Q191">(SIN(K186*PI()/180))*(COS((M186)*PI()/180)*COS(L186*PI()/180))-(SIN((M186)*PI()/180))*(COS(K186*PI()/180)*COS(J186*PI()/180))</f>
        <v>0.05653431672787097</v>
      </c>
      <c r="R186" s="38">
        <f aca="true" t="shared" si="80" ref="R186:R191">(COS(K186*PI()/180)*COS(J186*PI()/180))*(COS((M186)*PI()/180)*SIN(L186*PI()/180))-(COS(K186*PI()/180)*SIN(J186*PI()/180))*(COS((M186)*PI()/180)*COS(L186*PI()/180))</f>
        <v>0.32062204264328387</v>
      </c>
      <c r="S186" s="62">
        <f aca="true" t="shared" si="81" ref="S186:S191">IF(P186=0,IF(Q186&gt;=0,90,270),IF(P186&gt;0,IF(Q186&gt;=0,ATAN(Q186/P186)*180/PI(),ATAN(Q186/P186)*180/PI()+360),ATAN(Q186/P186)*180/PI()+180))</f>
        <v>161</v>
      </c>
      <c r="T186" s="12">
        <f aca="true" t="shared" si="82" ref="T186:T191">ASIN(R186/SQRT(P186^2+Q186^2+R186^2))*180/PI()</f>
        <v>61.56012426093771</v>
      </c>
      <c r="U186" s="22">
        <f aca="true" t="shared" si="83" ref="U186:U191">IF(R186&lt;0,S186,IF(S186+180&gt;=360,S186-180,S186+180))</f>
        <v>341</v>
      </c>
      <c r="V186" s="12">
        <f>IF(U186-90&lt;0,U186+270,U186-90)</f>
        <v>251</v>
      </c>
      <c r="W186" s="23">
        <f aca="true" t="shared" si="84" ref="W186:W191">IF(R186&lt;0,90+T186,90-T186)</f>
        <v>28.439875739062288</v>
      </c>
      <c r="X186" s="65"/>
      <c r="Y186" s="66"/>
      <c r="Z186" s="67"/>
      <c r="AA186" s="55"/>
      <c r="AB186" s="58"/>
      <c r="AC186" s="83">
        <v>32</v>
      </c>
      <c r="AD186" s="84">
        <v>68.9</v>
      </c>
      <c r="AE186" s="22">
        <f>IF(AD186&gt;=0,IF(U186&gt;=AC186,U186-AC186,U186-AC186+360),IF((U186-AC186-180)&lt;0,IF(U186-AC186+180&lt;0,U186-AC186+540,U186-AC186+180),U186-AC186-180))</f>
        <v>309</v>
      </c>
      <c r="AF186" s="12">
        <f>IF(AE186-90&lt;0,AE186+270,AE186-90)</f>
        <v>219</v>
      </c>
      <c r="AG186" s="12">
        <f aca="true" t="shared" si="85" ref="AG186:AG191">W186</f>
        <v>28.439875739062288</v>
      </c>
      <c r="AH186" s="48"/>
      <c r="AI186" s="27"/>
      <c r="AM186"/>
    </row>
    <row r="187" spans="1:35" s="54" customFormat="1" ht="12.75" customHeight="1">
      <c r="A187" s="89">
        <f>H187/100+98.496</f>
        <v>98.646</v>
      </c>
      <c r="B187" s="90" t="s">
        <v>49</v>
      </c>
      <c r="C187" s="80" t="s">
        <v>62</v>
      </c>
      <c r="D187" s="80">
        <v>8</v>
      </c>
      <c r="E187" s="76" t="s">
        <v>50</v>
      </c>
      <c r="F187" s="77">
        <v>11</v>
      </c>
      <c r="G187" s="78">
        <v>19</v>
      </c>
      <c r="H187" s="1">
        <f t="shared" si="63"/>
        <v>15</v>
      </c>
      <c r="I187" s="79"/>
      <c r="J187" s="55">
        <v>270</v>
      </c>
      <c r="K187" s="60">
        <v>54</v>
      </c>
      <c r="L187" s="60">
        <v>30</v>
      </c>
      <c r="M187" s="60">
        <v>0</v>
      </c>
      <c r="N187" s="60"/>
      <c r="O187" s="61"/>
      <c r="P187" s="38">
        <f t="shared" si="78"/>
        <v>-0.40450849718747367</v>
      </c>
      <c r="Q187" s="38">
        <f t="shared" si="79"/>
        <v>0.7006292692220368</v>
      </c>
      <c r="R187" s="38">
        <f t="shared" si="80"/>
        <v>0.5090369604551273</v>
      </c>
      <c r="S187" s="62">
        <f t="shared" si="81"/>
        <v>120</v>
      </c>
      <c r="T187" s="12">
        <f t="shared" si="82"/>
        <v>32.17827871125063</v>
      </c>
      <c r="U187" s="22">
        <f t="shared" si="83"/>
        <v>300</v>
      </c>
      <c r="V187" s="12">
        <f>IF(U187-90&lt;0,U187+270,U187-90)</f>
        <v>210</v>
      </c>
      <c r="W187" s="23">
        <f t="shared" si="84"/>
        <v>57.82172128874937</v>
      </c>
      <c r="X187" s="65"/>
      <c r="Y187" s="66"/>
      <c r="Z187" s="67"/>
      <c r="AA187" s="55"/>
      <c r="AB187" s="58"/>
      <c r="AC187" s="83">
        <v>32</v>
      </c>
      <c r="AD187" s="84">
        <v>68.9</v>
      </c>
      <c r="AE187" s="22">
        <f>IF(AD187&gt;=0,IF(U187&gt;=AC187,U187-AC187,U187-AC187+360),IF((U187-AC187-180)&lt;0,IF(U187-AC187+180&lt;0,U187-AC187+540,U187-AC187+180),U187-AC187-180))</f>
        <v>268</v>
      </c>
      <c r="AF187" s="12">
        <f>IF(AE187-90&lt;0,AE187+270,AE187-90)</f>
        <v>178</v>
      </c>
      <c r="AG187" s="12">
        <f t="shared" si="85"/>
        <v>57.82172128874937</v>
      </c>
      <c r="AH187" s="48"/>
      <c r="AI187" s="27"/>
    </row>
    <row r="188" spans="1:35" s="54" customFormat="1" ht="12.75" customHeight="1">
      <c r="A188" s="89">
        <f>H188/100+98.496</f>
        <v>99.03099999999999</v>
      </c>
      <c r="B188" s="90" t="s">
        <v>49</v>
      </c>
      <c r="C188" s="80" t="s">
        <v>62</v>
      </c>
      <c r="D188" s="80">
        <v>8</v>
      </c>
      <c r="E188" s="76" t="s">
        <v>50</v>
      </c>
      <c r="F188" s="77">
        <v>48</v>
      </c>
      <c r="G188" s="78">
        <v>59</v>
      </c>
      <c r="H188" s="1">
        <f t="shared" si="63"/>
        <v>53.5</v>
      </c>
      <c r="I188" s="79"/>
      <c r="J188" s="55">
        <v>270</v>
      </c>
      <c r="K188" s="60">
        <v>64</v>
      </c>
      <c r="L188" s="60">
        <v>16</v>
      </c>
      <c r="M188" s="60">
        <v>0</v>
      </c>
      <c r="N188" s="60"/>
      <c r="O188" s="61"/>
      <c r="P188" s="38">
        <f t="shared" si="78"/>
        <v>-0.2477412143459639</v>
      </c>
      <c r="Q188" s="38">
        <f t="shared" si="79"/>
        <v>0.8639762892448012</v>
      </c>
      <c r="R188" s="38">
        <f t="shared" si="80"/>
        <v>0.4213893920128943</v>
      </c>
      <c r="S188" s="62">
        <f t="shared" si="81"/>
        <v>106</v>
      </c>
      <c r="T188" s="12">
        <f t="shared" si="82"/>
        <v>25.118999260930583</v>
      </c>
      <c r="U188" s="22">
        <f t="shared" si="83"/>
        <v>286</v>
      </c>
      <c r="V188" s="12">
        <f>IF(U188-90&lt;0,U188+270,U188-90)</f>
        <v>196</v>
      </c>
      <c r="W188" s="23">
        <f t="shared" si="84"/>
        <v>64.88100073906942</v>
      </c>
      <c r="X188" s="65"/>
      <c r="Y188" s="66"/>
      <c r="Z188" s="67"/>
      <c r="AA188" s="55"/>
      <c r="AB188" s="58"/>
      <c r="AC188" s="83">
        <v>32</v>
      </c>
      <c r="AD188" s="84">
        <v>68.9</v>
      </c>
      <c r="AE188" s="22">
        <f>IF(AD188&gt;=0,IF(U188&gt;=AC188,U188-AC188,U188-AC188+360),IF((U188-AC188-180)&lt;0,IF(U188-AC188+180&lt;0,U188-AC188+540,U188-AC188+180),U188-AC188-180))</f>
        <v>254</v>
      </c>
      <c r="AF188" s="12">
        <f>IF(AE188-90&lt;0,AE188+270,AE188-90)</f>
        <v>164</v>
      </c>
      <c r="AG188" s="12">
        <f t="shared" si="85"/>
        <v>64.88100073906942</v>
      </c>
      <c r="AH188" s="48"/>
      <c r="AI188" s="27"/>
    </row>
    <row r="189" spans="1:36" s="54" customFormat="1" ht="12.75" customHeight="1">
      <c r="A189" s="89">
        <f>H189/100+98.496</f>
        <v>99.211</v>
      </c>
      <c r="B189" s="90" t="s">
        <v>49</v>
      </c>
      <c r="C189" s="80" t="s">
        <v>62</v>
      </c>
      <c r="D189" s="80">
        <v>8</v>
      </c>
      <c r="E189" s="76" t="s">
        <v>50</v>
      </c>
      <c r="F189" s="77">
        <v>67</v>
      </c>
      <c r="G189" s="78">
        <v>76</v>
      </c>
      <c r="H189" s="1">
        <f t="shared" si="63"/>
        <v>71.5</v>
      </c>
      <c r="I189" s="79"/>
      <c r="J189" s="55">
        <v>270</v>
      </c>
      <c r="K189" s="60">
        <v>50</v>
      </c>
      <c r="L189" s="60">
        <v>36</v>
      </c>
      <c r="M189" s="60">
        <v>0</v>
      </c>
      <c r="N189" s="60"/>
      <c r="O189" s="61"/>
      <c r="P189" s="38">
        <f t="shared" si="78"/>
        <v>-0.4502696262659356</v>
      </c>
      <c r="Q189" s="38">
        <f t="shared" si="79"/>
        <v>0.619742972929746</v>
      </c>
      <c r="R189" s="38">
        <f t="shared" si="80"/>
        <v>0.5200261000100608</v>
      </c>
      <c r="S189" s="62">
        <f t="shared" si="81"/>
        <v>126</v>
      </c>
      <c r="T189" s="12">
        <f t="shared" si="82"/>
        <v>34.17045954984237</v>
      </c>
      <c r="U189" s="22">
        <f t="shared" si="83"/>
        <v>306</v>
      </c>
      <c r="V189" s="12">
        <f>IF(U189-90&lt;0,U189+270,U189-90)</f>
        <v>216</v>
      </c>
      <c r="W189" s="23">
        <f t="shared" si="84"/>
        <v>55.82954045015763</v>
      </c>
      <c r="X189" s="65"/>
      <c r="Y189" s="66"/>
      <c r="Z189" s="67"/>
      <c r="AA189" s="55"/>
      <c r="AB189" s="58"/>
      <c r="AC189" s="83">
        <v>32</v>
      </c>
      <c r="AD189" s="84">
        <v>68.9</v>
      </c>
      <c r="AE189" s="22">
        <f>IF(AD189&gt;=0,IF(U189&gt;=AC189,U189-AC189,U189-AC189+360),IF((U189-AC189-180)&lt;0,IF(U189-AC189+180&lt;0,U189-AC189+540,U189-AC189+180),U189-AC189-180))</f>
        <v>274</v>
      </c>
      <c r="AF189" s="12">
        <f>IF(AE189-90&lt;0,AE189+270,AE189-90)</f>
        <v>184</v>
      </c>
      <c r="AG189" s="12">
        <f t="shared" si="85"/>
        <v>55.82954045015763</v>
      </c>
      <c r="AH189" s="48"/>
      <c r="AI189" s="27"/>
      <c r="AJ189" s="54" t="s">
        <v>65</v>
      </c>
    </row>
    <row r="190" spans="1:36" s="54" customFormat="1" ht="12.75" customHeight="1">
      <c r="A190" s="89">
        <f>H190/100+98.496</f>
        <v>99.48599999999999</v>
      </c>
      <c r="B190" s="90" t="s">
        <v>49</v>
      </c>
      <c r="C190" s="80" t="s">
        <v>62</v>
      </c>
      <c r="D190" s="80">
        <v>8</v>
      </c>
      <c r="E190" s="76" t="s">
        <v>50</v>
      </c>
      <c r="F190" s="77">
        <v>96</v>
      </c>
      <c r="G190" s="78">
        <v>102</v>
      </c>
      <c r="H190" s="1">
        <f t="shared" si="63"/>
        <v>99</v>
      </c>
      <c r="I190" s="79"/>
      <c r="J190" s="55">
        <v>270</v>
      </c>
      <c r="K190" s="60">
        <v>46</v>
      </c>
      <c r="L190" s="60">
        <v>45</v>
      </c>
      <c r="M190" s="60">
        <v>0</v>
      </c>
      <c r="N190" s="60"/>
      <c r="O190" s="61"/>
      <c r="P190" s="38">
        <f t="shared" si="78"/>
        <v>-0.5086500507968373</v>
      </c>
      <c r="Q190" s="38">
        <f t="shared" si="79"/>
        <v>0.5086500507968373</v>
      </c>
      <c r="R190" s="38">
        <f t="shared" si="80"/>
        <v>0.4911976443595538</v>
      </c>
      <c r="S190" s="62">
        <f t="shared" si="81"/>
        <v>135</v>
      </c>
      <c r="T190" s="12">
        <f t="shared" si="82"/>
        <v>34.32702295544232</v>
      </c>
      <c r="U190" s="22">
        <f t="shared" si="83"/>
        <v>315</v>
      </c>
      <c r="V190" s="12">
        <f>IF(U190-90&lt;0,U190+270,U190-90)</f>
        <v>225</v>
      </c>
      <c r="W190" s="23">
        <f t="shared" si="84"/>
        <v>55.67297704455768</v>
      </c>
      <c r="X190" s="65"/>
      <c r="Y190" s="66"/>
      <c r="Z190" s="67"/>
      <c r="AA190" s="55"/>
      <c r="AB190" s="58"/>
      <c r="AC190" s="83">
        <v>32</v>
      </c>
      <c r="AD190" s="84">
        <v>68.9</v>
      </c>
      <c r="AE190" s="22">
        <f>IF(AD190&gt;=0,IF(U190&gt;=AC190,U190-AC190,U190-AC190+360),IF((U190-AC190-180)&lt;0,IF(U190-AC190+180&lt;0,U190-AC190+540,U190-AC190+180),U190-AC190-180))</f>
        <v>283</v>
      </c>
      <c r="AF190" s="12">
        <f>IF(AE190-90&lt;0,AE190+270,AE190-90)</f>
        <v>193</v>
      </c>
      <c r="AG190" s="12">
        <f t="shared" si="85"/>
        <v>55.67297704455768</v>
      </c>
      <c r="AH190" s="48"/>
      <c r="AI190" s="27"/>
      <c r="AJ190" s="54" t="s">
        <v>66</v>
      </c>
    </row>
    <row r="191" spans="1:35" s="54" customFormat="1" ht="12.75" customHeight="1">
      <c r="A191" s="89">
        <f>H191/100+100</f>
        <v>100.155</v>
      </c>
      <c r="B191" s="90" t="s">
        <v>49</v>
      </c>
      <c r="C191" s="80" t="s">
        <v>67</v>
      </c>
      <c r="D191" s="80">
        <v>1</v>
      </c>
      <c r="E191" s="76" t="s">
        <v>50</v>
      </c>
      <c r="F191" s="77">
        <v>13</v>
      </c>
      <c r="G191" s="78">
        <v>18</v>
      </c>
      <c r="H191" s="1">
        <f t="shared" si="63"/>
        <v>15.5</v>
      </c>
      <c r="I191" s="79"/>
      <c r="J191" s="55">
        <v>270</v>
      </c>
      <c r="K191" s="60">
        <v>32</v>
      </c>
      <c r="L191" s="60">
        <v>335</v>
      </c>
      <c r="M191" s="60">
        <v>0</v>
      </c>
      <c r="N191" s="60"/>
      <c r="O191" s="61"/>
      <c r="P191" s="38">
        <f t="shared" si="78"/>
        <v>0.22395355831314775</v>
      </c>
      <c r="Q191" s="38">
        <f t="shared" si="79"/>
        <v>0.4802699556752856</v>
      </c>
      <c r="R191" s="38">
        <f t="shared" si="80"/>
        <v>0.7685925933281744</v>
      </c>
      <c r="S191" s="62">
        <f t="shared" si="81"/>
        <v>64.99999999999996</v>
      </c>
      <c r="T191" s="12">
        <f t="shared" si="82"/>
        <v>55.415016591521606</v>
      </c>
      <c r="U191" s="22">
        <f t="shared" si="83"/>
        <v>244.99999999999994</v>
      </c>
      <c r="V191" s="12">
        <f>IF(U191-90&lt;0,U191+270,U191-90)</f>
        <v>154.99999999999994</v>
      </c>
      <c r="W191" s="23">
        <f t="shared" si="84"/>
        <v>34.584983408478394</v>
      </c>
      <c r="X191" s="65"/>
      <c r="Y191" s="66"/>
      <c r="Z191" s="67"/>
      <c r="AA191" s="55"/>
      <c r="AB191" s="58"/>
      <c r="AC191" s="83">
        <v>246.2</v>
      </c>
      <c r="AD191" s="84">
        <v>70.5</v>
      </c>
      <c r="AE191" s="22">
        <f>IF(AD191&gt;=0,IF(U191&gt;=AC191,U191-AC191,U191-AC191+360),IF((U191-AC191-180)&lt;0,IF(U191-AC191+180&lt;0,U191-AC191+540,U191-AC191+180),U191-AC191-180))</f>
        <v>358.79999999999995</v>
      </c>
      <c r="AF191" s="12">
        <f>IF(AE191-90&lt;0,AE191+270,AE191-90)</f>
        <v>268.79999999999995</v>
      </c>
      <c r="AG191" s="12">
        <f t="shared" si="85"/>
        <v>34.584983408478394</v>
      </c>
      <c r="AH191" s="48"/>
      <c r="AI191" s="27"/>
    </row>
    <row r="192" spans="1:35" s="54" customFormat="1" ht="12.75" customHeight="1">
      <c r="A192" s="89">
        <f>H192/100+101.381</f>
        <v>101.991</v>
      </c>
      <c r="B192" s="90" t="s">
        <v>49</v>
      </c>
      <c r="C192" s="80" t="s">
        <v>67</v>
      </c>
      <c r="D192" s="80">
        <v>2</v>
      </c>
      <c r="E192" s="2" t="s">
        <v>148</v>
      </c>
      <c r="F192" s="77">
        <v>47</v>
      </c>
      <c r="G192" s="78">
        <v>75</v>
      </c>
      <c r="H192" s="1">
        <f t="shared" si="63"/>
        <v>61</v>
      </c>
      <c r="I192" s="79"/>
      <c r="J192" s="55"/>
      <c r="K192" s="60"/>
      <c r="L192" s="60"/>
      <c r="M192" s="60"/>
      <c r="N192" s="60"/>
      <c r="O192" s="61"/>
      <c r="P192" s="38"/>
      <c r="Q192" s="38"/>
      <c r="R192" s="38"/>
      <c r="S192" s="62"/>
      <c r="T192" s="12"/>
      <c r="U192" s="22"/>
      <c r="V192" s="12"/>
      <c r="W192" s="23"/>
      <c r="X192" s="65"/>
      <c r="Y192" s="66"/>
      <c r="Z192" s="67"/>
      <c r="AA192" s="55"/>
      <c r="AB192" s="58"/>
      <c r="AC192" s="83"/>
      <c r="AD192" s="84"/>
      <c r="AE192" s="22"/>
      <c r="AF192" s="12"/>
      <c r="AG192" s="12"/>
      <c r="AH192" s="48"/>
      <c r="AI192" s="27"/>
    </row>
    <row r="193" spans="1:35" s="54" customFormat="1" ht="12.75" customHeight="1">
      <c r="A193" s="89">
        <f>H193/100+102.761</f>
        <v>103.071</v>
      </c>
      <c r="B193" s="90" t="s">
        <v>49</v>
      </c>
      <c r="C193" s="80" t="s">
        <v>67</v>
      </c>
      <c r="D193" s="58">
        <v>3</v>
      </c>
      <c r="E193" s="76" t="s">
        <v>50</v>
      </c>
      <c r="F193" s="56">
        <v>26</v>
      </c>
      <c r="G193" s="57">
        <v>36</v>
      </c>
      <c r="H193" s="1">
        <f t="shared" si="63"/>
        <v>31</v>
      </c>
      <c r="I193" s="59"/>
      <c r="J193" s="55">
        <v>90</v>
      </c>
      <c r="K193" s="60">
        <v>54</v>
      </c>
      <c r="L193" s="60">
        <v>338</v>
      </c>
      <c r="M193" s="60">
        <v>0</v>
      </c>
      <c r="N193" s="60"/>
      <c r="O193" s="61"/>
      <c r="P193" s="38">
        <f aca="true" t="shared" si="86" ref="P193:P224">COS(K193*PI()/180)*SIN(J193*PI()/180)*(SIN((M193)*PI()/180))-(COS((M193)*PI()/180)*SIN(L193*PI()/180))*(SIN(K193*PI()/180))</f>
        <v>0.3030631002783794</v>
      </c>
      <c r="Q193" s="38">
        <f aca="true" t="shared" si="87" ref="Q193:Q224">(SIN(K193*PI()/180))*(COS((M193)*PI()/180)*COS(L193*PI()/180))-(SIN((M193)*PI()/180))*(COS(K193*PI()/180)*COS(J193*PI()/180))</f>
        <v>0.7501074952546006</v>
      </c>
      <c r="R193" s="38">
        <f aca="true" t="shared" si="88" ref="R193:R224">(COS(K193*PI()/180)*COS(J193*PI()/180))*(COS((M193)*PI()/180)*SIN(L193*PI()/180))-(COS(K193*PI()/180)*SIN(J193*PI()/180))*(COS((M193)*PI()/180)*COS(L193*PI()/180))</f>
        <v>-0.5449849958780468</v>
      </c>
      <c r="S193" s="62">
        <f aca="true" t="shared" si="89" ref="S193:S224">IF(P193=0,IF(Q193&gt;=0,90,270),IF(P193&gt;0,IF(Q193&gt;=0,ATAN(Q193/P193)*180/PI(),ATAN(Q193/P193)*180/PI()+360),ATAN(Q193/P193)*180/PI()+180))</f>
        <v>67.99999999999997</v>
      </c>
      <c r="T193" s="12">
        <f aca="true" t="shared" si="90" ref="T193:T224">ASIN(R193/SQRT(P193^2+Q193^2+R193^2))*180/PI()</f>
        <v>-33.96572534768777</v>
      </c>
      <c r="U193" s="22">
        <f aca="true" t="shared" si="91" ref="U193:U224">IF(R193&lt;0,S193,IF(S193+180&gt;=360,S193-180,S193+180))</f>
        <v>67.99999999999997</v>
      </c>
      <c r="V193" s="12">
        <f aca="true" t="shared" si="92" ref="V193:V224">IF(U193-90&lt;0,U193+270,U193-90)</f>
        <v>338</v>
      </c>
      <c r="W193" s="23">
        <f aca="true" t="shared" si="93" ref="W193:W224">IF(R193&lt;0,90+T193,90-T193)</f>
        <v>56.03427465231223</v>
      </c>
      <c r="X193" s="65"/>
      <c r="Y193" s="66"/>
      <c r="Z193" s="67"/>
      <c r="AA193" s="55"/>
      <c r="AB193" s="58"/>
      <c r="AC193" s="83">
        <v>246.2</v>
      </c>
      <c r="AD193" s="84">
        <v>70.5</v>
      </c>
      <c r="AE193" s="22">
        <f aca="true" t="shared" si="94" ref="AE193:AE224">IF(AD193&gt;=0,IF(U193&gt;=AC193,U193-AC193,U193-AC193+360),IF((U193-AC193-180)&lt;0,IF(U193-AC193+180&lt;0,U193-AC193+540,U193-AC193+180),U193-AC193-180))</f>
        <v>181.79999999999998</v>
      </c>
      <c r="AF193" s="12">
        <f aca="true" t="shared" si="95" ref="AF193:AF224">IF(AE193-90&lt;0,AE193+270,AE193-90)</f>
        <v>91.79999999999998</v>
      </c>
      <c r="AG193" s="12">
        <f aca="true" t="shared" si="96" ref="AG193:AG224">W193</f>
        <v>56.03427465231223</v>
      </c>
      <c r="AH193" s="48"/>
      <c r="AI193" s="27"/>
    </row>
    <row r="194" spans="1:39" s="54" customFormat="1" ht="12.75" customHeight="1">
      <c r="A194" s="89">
        <f>H194/100+102.761</f>
        <v>103.676</v>
      </c>
      <c r="B194" s="90" t="s">
        <v>49</v>
      </c>
      <c r="C194" s="80" t="s">
        <v>67</v>
      </c>
      <c r="D194" s="58">
        <v>3</v>
      </c>
      <c r="E194" s="55" t="s">
        <v>44</v>
      </c>
      <c r="F194" s="56">
        <v>91</v>
      </c>
      <c r="G194" s="57">
        <v>92</v>
      </c>
      <c r="H194" s="1">
        <f t="shared" si="63"/>
        <v>91.5</v>
      </c>
      <c r="I194" s="59"/>
      <c r="J194" s="55">
        <v>270</v>
      </c>
      <c r="K194" s="60">
        <v>7</v>
      </c>
      <c r="L194" s="60">
        <v>180</v>
      </c>
      <c r="M194" s="60">
        <v>6</v>
      </c>
      <c r="N194" s="60"/>
      <c r="O194" s="61"/>
      <c r="P194" s="38">
        <f t="shared" si="86"/>
        <v>-0.10374932395329074</v>
      </c>
      <c r="Q194" s="38">
        <f t="shared" si="87"/>
        <v>-0.12120173039057423</v>
      </c>
      <c r="R194" s="38">
        <f t="shared" si="88"/>
        <v>-0.9871088799708131</v>
      </c>
      <c r="S194" s="62">
        <f t="shared" si="89"/>
        <v>229.43629913197069</v>
      </c>
      <c r="T194" s="12">
        <f t="shared" si="90"/>
        <v>-80.81891132138495</v>
      </c>
      <c r="U194" s="22">
        <f t="shared" si="91"/>
        <v>229.43629913197069</v>
      </c>
      <c r="V194" s="12">
        <f t="shared" si="92"/>
        <v>139.43629913197069</v>
      </c>
      <c r="W194" s="23">
        <f t="shared" si="93"/>
        <v>9.181088678615055</v>
      </c>
      <c r="X194" s="65"/>
      <c r="Y194" s="66"/>
      <c r="Z194" s="67"/>
      <c r="AA194" s="55"/>
      <c r="AB194" s="58"/>
      <c r="AC194" s="83">
        <v>246.2</v>
      </c>
      <c r="AD194" s="84">
        <v>70.5</v>
      </c>
      <c r="AE194" s="22">
        <f t="shared" si="94"/>
        <v>343.23629913197067</v>
      </c>
      <c r="AF194" s="12">
        <f t="shared" si="95"/>
        <v>253.23629913197067</v>
      </c>
      <c r="AG194" s="12">
        <f t="shared" si="96"/>
        <v>9.181088678615055</v>
      </c>
      <c r="AH194" s="48"/>
      <c r="AI194" s="27"/>
      <c r="AM194"/>
    </row>
    <row r="195" spans="1:35" s="54" customFormat="1" ht="12.75" customHeight="1">
      <c r="A195" s="89">
        <f>H195/100+104.385</f>
        <v>105.04</v>
      </c>
      <c r="B195" s="90" t="s">
        <v>49</v>
      </c>
      <c r="C195" s="80" t="s">
        <v>67</v>
      </c>
      <c r="D195" s="58">
        <v>6</v>
      </c>
      <c r="E195" s="55" t="s">
        <v>50</v>
      </c>
      <c r="F195" s="56">
        <v>60</v>
      </c>
      <c r="G195" s="57">
        <v>71</v>
      </c>
      <c r="H195" s="1">
        <f aca="true" t="shared" si="97" ref="H195:H258">(F195+G195)/2</f>
        <v>65.5</v>
      </c>
      <c r="I195" s="59"/>
      <c r="J195" s="55">
        <v>90</v>
      </c>
      <c r="K195" s="60">
        <v>72</v>
      </c>
      <c r="L195" s="60">
        <v>319</v>
      </c>
      <c r="M195" s="60">
        <v>0</v>
      </c>
      <c r="N195" s="60"/>
      <c r="O195" s="61"/>
      <c r="P195" s="38">
        <f t="shared" si="86"/>
        <v>0.6239492145956931</v>
      </c>
      <c r="Q195" s="38">
        <f t="shared" si="87"/>
        <v>0.7177714641812472</v>
      </c>
      <c r="R195" s="38">
        <f t="shared" si="88"/>
        <v>-0.23321808610641925</v>
      </c>
      <c r="S195" s="62">
        <f t="shared" si="89"/>
        <v>49</v>
      </c>
      <c r="T195" s="12">
        <f t="shared" si="90"/>
        <v>-13.778191785153034</v>
      </c>
      <c r="U195" s="22">
        <f t="shared" si="91"/>
        <v>49</v>
      </c>
      <c r="V195" s="12">
        <f t="shared" si="92"/>
        <v>319</v>
      </c>
      <c r="W195" s="23">
        <f t="shared" si="93"/>
        <v>76.22180821484696</v>
      </c>
      <c r="X195" s="65"/>
      <c r="Y195" s="66"/>
      <c r="Z195" s="67"/>
      <c r="AA195" s="55"/>
      <c r="AB195" s="58"/>
      <c r="AC195" s="83">
        <v>246.2</v>
      </c>
      <c r="AD195" s="84">
        <v>70.5</v>
      </c>
      <c r="AE195" s="22">
        <f t="shared" si="94"/>
        <v>162.8</v>
      </c>
      <c r="AF195" s="12">
        <f t="shared" si="95"/>
        <v>72.80000000000001</v>
      </c>
      <c r="AG195" s="12">
        <f t="shared" si="96"/>
        <v>76.22180821484696</v>
      </c>
      <c r="AH195" s="48"/>
      <c r="AI195" s="27"/>
    </row>
    <row r="196" spans="1:35" s="54" customFormat="1" ht="12.75" customHeight="1">
      <c r="A196" s="89">
        <f>H196/100+107.152</f>
        <v>108.202</v>
      </c>
      <c r="B196" s="90" t="s">
        <v>49</v>
      </c>
      <c r="C196" s="80" t="s">
        <v>67</v>
      </c>
      <c r="D196" s="58">
        <v>8</v>
      </c>
      <c r="E196" s="55" t="s">
        <v>50</v>
      </c>
      <c r="F196" s="56">
        <v>104</v>
      </c>
      <c r="G196" s="57">
        <v>106</v>
      </c>
      <c r="H196" s="1">
        <f t="shared" si="97"/>
        <v>105</v>
      </c>
      <c r="I196" s="59"/>
      <c r="J196" s="55">
        <v>90</v>
      </c>
      <c r="K196" s="60">
        <v>58</v>
      </c>
      <c r="L196" s="60">
        <v>0</v>
      </c>
      <c r="M196" s="60">
        <v>42</v>
      </c>
      <c r="N196" s="60"/>
      <c r="O196" s="61"/>
      <c r="P196" s="38">
        <f t="shared" si="86"/>
        <v>0.3545851985976044</v>
      </c>
      <c r="Q196" s="38">
        <f t="shared" si="87"/>
        <v>0.6302225544146036</v>
      </c>
      <c r="R196" s="38">
        <f t="shared" si="88"/>
        <v>-0.39380675913569424</v>
      </c>
      <c r="S196" s="62">
        <f t="shared" si="89"/>
        <v>60.63637572022044</v>
      </c>
      <c r="T196" s="12">
        <f t="shared" si="90"/>
        <v>-28.57224491426702</v>
      </c>
      <c r="U196" s="22">
        <f t="shared" si="91"/>
        <v>60.63637572022044</v>
      </c>
      <c r="V196" s="12">
        <f t="shared" si="92"/>
        <v>330.6363757202204</v>
      </c>
      <c r="W196" s="23">
        <f t="shared" si="93"/>
        <v>61.42775508573298</v>
      </c>
      <c r="X196" s="65"/>
      <c r="Y196" s="66"/>
      <c r="Z196" s="67"/>
      <c r="AA196" s="55"/>
      <c r="AB196" s="58"/>
      <c r="AC196" s="83">
        <v>246.2</v>
      </c>
      <c r="AD196" s="84">
        <v>70.5</v>
      </c>
      <c r="AE196" s="22">
        <f t="shared" si="94"/>
        <v>174.43637572022044</v>
      </c>
      <c r="AF196" s="12">
        <f t="shared" si="95"/>
        <v>84.43637572022044</v>
      </c>
      <c r="AG196" s="12">
        <f t="shared" si="96"/>
        <v>61.42775508573298</v>
      </c>
      <c r="AH196" s="48"/>
      <c r="AI196" s="27"/>
    </row>
    <row r="197" spans="1:35" ht="12.75" customHeight="1">
      <c r="A197" s="89">
        <f>H197/100+108.533</f>
        <v>109.033</v>
      </c>
      <c r="B197" s="90" t="s">
        <v>49</v>
      </c>
      <c r="C197" s="80" t="s">
        <v>67</v>
      </c>
      <c r="D197" s="58">
        <v>9</v>
      </c>
      <c r="E197" s="55" t="s">
        <v>44</v>
      </c>
      <c r="F197" s="15">
        <v>50</v>
      </c>
      <c r="G197" s="17">
        <v>50</v>
      </c>
      <c r="H197" s="1">
        <f t="shared" si="97"/>
        <v>50</v>
      </c>
      <c r="I197" s="40"/>
      <c r="J197" s="2">
        <v>90</v>
      </c>
      <c r="K197" s="60">
        <v>0</v>
      </c>
      <c r="L197" s="60">
        <v>180</v>
      </c>
      <c r="M197" s="60">
        <v>3</v>
      </c>
      <c r="N197" s="11"/>
      <c r="O197" s="46"/>
      <c r="P197" s="38">
        <f t="shared" si="86"/>
        <v>0.05233595624294383</v>
      </c>
      <c r="Q197" s="38">
        <f t="shared" si="87"/>
        <v>-3.205965796360389E-18</v>
      </c>
      <c r="R197" s="38">
        <f t="shared" si="88"/>
        <v>0.9986295347545738</v>
      </c>
      <c r="S197" s="62">
        <f t="shared" si="89"/>
        <v>360</v>
      </c>
      <c r="T197" s="12">
        <f t="shared" si="90"/>
        <v>86.99999999999996</v>
      </c>
      <c r="U197" s="22">
        <f t="shared" si="91"/>
        <v>180</v>
      </c>
      <c r="V197" s="12">
        <f t="shared" si="92"/>
        <v>90</v>
      </c>
      <c r="W197" s="23">
        <f t="shared" si="93"/>
        <v>3.0000000000000426</v>
      </c>
      <c r="X197" s="65"/>
      <c r="Y197" s="66"/>
      <c r="Z197" s="27"/>
      <c r="AA197" s="2"/>
      <c r="AB197" s="60"/>
      <c r="AC197" s="83">
        <v>246.2</v>
      </c>
      <c r="AD197" s="84">
        <v>70.5</v>
      </c>
      <c r="AE197" s="22">
        <f t="shared" si="94"/>
        <v>293.8</v>
      </c>
      <c r="AF197" s="12">
        <f t="shared" si="95"/>
        <v>203.8</v>
      </c>
      <c r="AG197" s="12">
        <f t="shared" si="96"/>
        <v>3.0000000000000426</v>
      </c>
      <c r="AH197" s="48"/>
      <c r="AI197" s="27"/>
    </row>
    <row r="198" spans="1:39" ht="12.75" customHeight="1">
      <c r="A198" s="89">
        <f>H198/100+109.5</f>
        <v>110.34</v>
      </c>
      <c r="B198" s="90" t="s">
        <v>49</v>
      </c>
      <c r="C198" s="80" t="s">
        <v>75</v>
      </c>
      <c r="D198" s="58">
        <v>1</v>
      </c>
      <c r="E198" s="2" t="s">
        <v>50</v>
      </c>
      <c r="F198" s="15">
        <v>81</v>
      </c>
      <c r="G198" s="17">
        <v>87</v>
      </c>
      <c r="H198" s="1">
        <f t="shared" si="97"/>
        <v>84</v>
      </c>
      <c r="I198" s="40"/>
      <c r="J198" s="2">
        <v>90</v>
      </c>
      <c r="K198" s="60">
        <v>41</v>
      </c>
      <c r="L198" s="60">
        <v>0</v>
      </c>
      <c r="M198" s="60">
        <v>47</v>
      </c>
      <c r="N198" s="11"/>
      <c r="O198" s="46"/>
      <c r="P198" s="38">
        <f t="shared" si="86"/>
        <v>0.5519596451433747</v>
      </c>
      <c r="Q198" s="38">
        <f t="shared" si="87"/>
        <v>0.44743118187572095</v>
      </c>
      <c r="R198" s="38">
        <f t="shared" si="88"/>
        <v>-0.5147106960353872</v>
      </c>
      <c r="S198" s="62">
        <f t="shared" si="89"/>
        <v>39.02901970195308</v>
      </c>
      <c r="T198" s="12">
        <f t="shared" si="90"/>
        <v>-35.91968505758981</v>
      </c>
      <c r="U198" s="22">
        <f t="shared" si="91"/>
        <v>39.02901970195308</v>
      </c>
      <c r="V198" s="12">
        <f t="shared" si="92"/>
        <v>309.0290197019531</v>
      </c>
      <c r="W198" s="23">
        <f t="shared" si="93"/>
        <v>54.08031494241019</v>
      </c>
      <c r="X198" s="65"/>
      <c r="Y198" s="66"/>
      <c r="Z198" s="27"/>
      <c r="AA198" s="2"/>
      <c r="AB198" s="1"/>
      <c r="AC198" s="83">
        <v>195.8</v>
      </c>
      <c r="AD198" s="84">
        <v>67.4</v>
      </c>
      <c r="AE198" s="22">
        <f t="shared" si="94"/>
        <v>203.22901970195306</v>
      </c>
      <c r="AF198" s="12">
        <f t="shared" si="95"/>
        <v>113.22901970195306</v>
      </c>
      <c r="AG198" s="12">
        <f t="shared" si="96"/>
        <v>54.08031494241019</v>
      </c>
      <c r="AH198" s="48"/>
      <c r="AI198" s="27"/>
      <c r="AL198" s="54"/>
      <c r="AM198" s="54"/>
    </row>
    <row r="199" spans="1:39" ht="12.75" customHeight="1">
      <c r="A199" s="89">
        <f>H199/100+109.5</f>
        <v>110.365</v>
      </c>
      <c r="B199" s="90" t="s">
        <v>49</v>
      </c>
      <c r="C199" s="80" t="s">
        <v>74</v>
      </c>
      <c r="D199" s="58">
        <v>1</v>
      </c>
      <c r="E199" s="2" t="s">
        <v>50</v>
      </c>
      <c r="F199" s="15">
        <v>82</v>
      </c>
      <c r="G199" s="17">
        <v>91</v>
      </c>
      <c r="H199" s="1">
        <f t="shared" si="97"/>
        <v>86.5</v>
      </c>
      <c r="I199" s="40"/>
      <c r="J199" s="2">
        <v>270</v>
      </c>
      <c r="K199" s="60">
        <v>45</v>
      </c>
      <c r="L199" s="60">
        <v>180</v>
      </c>
      <c r="M199" s="60">
        <v>43</v>
      </c>
      <c r="N199" s="11"/>
      <c r="O199" s="46"/>
      <c r="P199" s="38">
        <f t="shared" si="86"/>
        <v>-0.4822456651582975</v>
      </c>
      <c r="Q199" s="38">
        <f t="shared" si="87"/>
        <v>-0.5171451618607983</v>
      </c>
      <c r="R199" s="38">
        <f t="shared" si="88"/>
        <v>-0.5171451618607984</v>
      </c>
      <c r="S199" s="62">
        <f t="shared" si="89"/>
        <v>227</v>
      </c>
      <c r="T199" s="12">
        <f t="shared" si="90"/>
        <v>-36.1800093469185</v>
      </c>
      <c r="U199" s="22">
        <f t="shared" si="91"/>
        <v>227</v>
      </c>
      <c r="V199" s="12">
        <f t="shared" si="92"/>
        <v>137</v>
      </c>
      <c r="W199" s="23">
        <f t="shared" si="93"/>
        <v>53.8199906530815</v>
      </c>
      <c r="X199" s="65"/>
      <c r="Y199" s="66"/>
      <c r="Z199" s="27"/>
      <c r="AA199" s="2"/>
      <c r="AB199" s="60"/>
      <c r="AC199" s="83">
        <v>195.8</v>
      </c>
      <c r="AD199" s="84">
        <v>67.4</v>
      </c>
      <c r="AE199" s="22">
        <f t="shared" si="94"/>
        <v>31.19999999999999</v>
      </c>
      <c r="AF199" s="12">
        <f t="shared" si="95"/>
        <v>301.2</v>
      </c>
      <c r="AG199" s="12">
        <f t="shared" si="96"/>
        <v>53.8199906530815</v>
      </c>
      <c r="AH199" s="48"/>
      <c r="AI199" s="27"/>
      <c r="AL199" s="54"/>
      <c r="AM199" s="54"/>
    </row>
    <row r="200" spans="1:39" ht="12.75" customHeight="1">
      <c r="A200" s="89">
        <f>H200/100+109.5</f>
        <v>110.685</v>
      </c>
      <c r="B200" s="90" t="s">
        <v>49</v>
      </c>
      <c r="C200" s="80" t="s">
        <v>76</v>
      </c>
      <c r="D200" s="58">
        <v>1</v>
      </c>
      <c r="E200" s="2" t="s">
        <v>50</v>
      </c>
      <c r="F200" s="15">
        <v>113</v>
      </c>
      <c r="G200" s="17">
        <v>124</v>
      </c>
      <c r="H200" s="1">
        <f t="shared" si="97"/>
        <v>118.5</v>
      </c>
      <c r="I200" s="40"/>
      <c r="J200" s="2">
        <v>270</v>
      </c>
      <c r="K200" s="60">
        <v>55</v>
      </c>
      <c r="L200" s="60">
        <v>180</v>
      </c>
      <c r="M200" s="60">
        <v>39</v>
      </c>
      <c r="N200" s="11"/>
      <c r="O200" s="46"/>
      <c r="P200" s="38">
        <f t="shared" si="86"/>
        <v>-0.3609633472214126</v>
      </c>
      <c r="Q200" s="38">
        <f t="shared" si="87"/>
        <v>-0.6366007030384117</v>
      </c>
      <c r="R200" s="38">
        <f t="shared" si="88"/>
        <v>-0.44575261109709685</v>
      </c>
      <c r="S200" s="62">
        <f t="shared" si="89"/>
        <v>240.44603129508147</v>
      </c>
      <c r="T200" s="12">
        <f t="shared" si="90"/>
        <v>-31.345785137214907</v>
      </c>
      <c r="U200" s="22">
        <f t="shared" si="91"/>
        <v>240.44603129508147</v>
      </c>
      <c r="V200" s="12">
        <f t="shared" si="92"/>
        <v>150.44603129508147</v>
      </c>
      <c r="W200" s="23">
        <f t="shared" si="93"/>
        <v>58.654214862785096</v>
      </c>
      <c r="X200" s="65"/>
      <c r="Y200" s="66"/>
      <c r="Z200" s="27"/>
      <c r="AA200" s="2"/>
      <c r="AB200" s="1"/>
      <c r="AC200" s="83">
        <v>195.8</v>
      </c>
      <c r="AD200" s="84">
        <v>67.4</v>
      </c>
      <c r="AE200" s="22">
        <f t="shared" si="94"/>
        <v>44.64603129508146</v>
      </c>
      <c r="AF200" s="12">
        <f t="shared" si="95"/>
        <v>314.64603129508146</v>
      </c>
      <c r="AG200" s="12">
        <f t="shared" si="96"/>
        <v>58.654214862785096</v>
      </c>
      <c r="AH200" s="48"/>
      <c r="AI200" s="27"/>
      <c r="AL200" s="54"/>
      <c r="AM200" s="54"/>
    </row>
    <row r="201" spans="1:39" ht="12.75" customHeight="1">
      <c r="A201" s="89">
        <f>H201/100+109.5</f>
        <v>110.6875</v>
      </c>
      <c r="B201" s="90" t="s">
        <v>49</v>
      </c>
      <c r="C201" s="80" t="s">
        <v>77</v>
      </c>
      <c r="D201" s="58">
        <v>1</v>
      </c>
      <c r="E201" s="2" t="s">
        <v>50</v>
      </c>
      <c r="F201" s="15">
        <v>117</v>
      </c>
      <c r="G201" s="17">
        <v>120.5</v>
      </c>
      <c r="H201" s="1">
        <f t="shared" si="97"/>
        <v>118.75</v>
      </c>
      <c r="I201" s="40"/>
      <c r="J201" s="2">
        <v>90</v>
      </c>
      <c r="K201" s="60">
        <v>29</v>
      </c>
      <c r="L201" s="60">
        <v>0</v>
      </c>
      <c r="M201" s="60">
        <v>50</v>
      </c>
      <c r="N201" s="11"/>
      <c r="O201" s="46"/>
      <c r="P201" s="38">
        <f t="shared" si="86"/>
        <v>0.669997566496482</v>
      </c>
      <c r="Q201" s="38">
        <f t="shared" si="87"/>
        <v>0.3116296169511818</v>
      </c>
      <c r="R201" s="38">
        <f t="shared" si="88"/>
        <v>-0.5621947109368732</v>
      </c>
      <c r="S201" s="62">
        <f t="shared" si="89"/>
        <v>24.944105063318055</v>
      </c>
      <c r="T201" s="12">
        <f t="shared" si="90"/>
        <v>-37.26489778567073</v>
      </c>
      <c r="U201" s="22">
        <f t="shared" si="91"/>
        <v>24.944105063318055</v>
      </c>
      <c r="V201" s="12">
        <f t="shared" si="92"/>
        <v>294.94410506331803</v>
      </c>
      <c r="W201" s="23">
        <f t="shared" si="93"/>
        <v>52.73510221432927</v>
      </c>
      <c r="X201" s="65"/>
      <c r="Y201" s="66"/>
      <c r="Z201" s="27"/>
      <c r="AA201" s="2"/>
      <c r="AB201" s="1"/>
      <c r="AC201" s="83">
        <v>195.8</v>
      </c>
      <c r="AD201" s="84">
        <v>67.4</v>
      </c>
      <c r="AE201" s="22">
        <f t="shared" si="94"/>
        <v>189.14410506331805</v>
      </c>
      <c r="AF201" s="12">
        <f t="shared" si="95"/>
        <v>99.14410506331805</v>
      </c>
      <c r="AG201" s="12">
        <f t="shared" si="96"/>
        <v>52.73510221432927</v>
      </c>
      <c r="AH201" s="48"/>
      <c r="AI201" s="27"/>
      <c r="AL201" s="54"/>
      <c r="AM201" s="54"/>
    </row>
    <row r="202" spans="1:39" ht="12.75" customHeight="1">
      <c r="A202" s="89">
        <f>H202/100+109.5</f>
        <v>110.8</v>
      </c>
      <c r="B202" s="90" t="s">
        <v>49</v>
      </c>
      <c r="C202" s="80" t="s">
        <v>78</v>
      </c>
      <c r="D202" s="58">
        <v>1</v>
      </c>
      <c r="E202" s="2" t="s">
        <v>50</v>
      </c>
      <c r="F202" s="15">
        <v>126</v>
      </c>
      <c r="G202" s="17">
        <v>134</v>
      </c>
      <c r="H202" s="1">
        <f t="shared" si="97"/>
        <v>130</v>
      </c>
      <c r="I202" s="40"/>
      <c r="J202" s="2">
        <v>270</v>
      </c>
      <c r="K202" s="60">
        <v>50</v>
      </c>
      <c r="L202" s="60">
        <v>180</v>
      </c>
      <c r="M202" s="60">
        <v>40</v>
      </c>
      <c r="N202" s="11"/>
      <c r="O202" s="46"/>
      <c r="P202" s="38">
        <f t="shared" si="86"/>
        <v>-0.41317591116653485</v>
      </c>
      <c r="Q202" s="38">
        <f t="shared" si="87"/>
        <v>-0.586824088833465</v>
      </c>
      <c r="R202" s="38">
        <f t="shared" si="88"/>
        <v>-0.49240387650610407</v>
      </c>
      <c r="S202" s="62">
        <f t="shared" si="89"/>
        <v>234.8510761165839</v>
      </c>
      <c r="T202" s="12">
        <f t="shared" si="90"/>
        <v>-34.45389719189134</v>
      </c>
      <c r="U202" s="22">
        <f t="shared" si="91"/>
        <v>234.8510761165839</v>
      </c>
      <c r="V202" s="12">
        <f t="shared" si="92"/>
        <v>144.8510761165839</v>
      </c>
      <c r="W202" s="23">
        <f t="shared" si="93"/>
        <v>55.54610280810866</v>
      </c>
      <c r="X202" s="65"/>
      <c r="Y202" s="66"/>
      <c r="Z202" s="27"/>
      <c r="AA202" s="2"/>
      <c r="AB202" s="1"/>
      <c r="AC202" s="83">
        <v>195.8</v>
      </c>
      <c r="AD202" s="84">
        <v>67.4</v>
      </c>
      <c r="AE202" s="22">
        <f t="shared" si="94"/>
        <v>39.051076116583886</v>
      </c>
      <c r="AF202" s="12">
        <f t="shared" si="95"/>
        <v>309.0510761165839</v>
      </c>
      <c r="AG202" s="12">
        <f t="shared" si="96"/>
        <v>55.54610280810866</v>
      </c>
      <c r="AH202" s="48"/>
      <c r="AI202" s="27"/>
      <c r="AL202" s="54"/>
      <c r="AM202" s="54"/>
    </row>
    <row r="203" spans="1:39" ht="12.75" customHeight="1">
      <c r="A203" s="89">
        <f>H203/100+110.801</f>
        <v>110.931</v>
      </c>
      <c r="B203" s="90" t="s">
        <v>49</v>
      </c>
      <c r="C203" s="80" t="s">
        <v>79</v>
      </c>
      <c r="D203" s="58">
        <v>2</v>
      </c>
      <c r="E203" s="2" t="s">
        <v>50</v>
      </c>
      <c r="F203" s="15">
        <v>10</v>
      </c>
      <c r="G203" s="17">
        <v>16</v>
      </c>
      <c r="H203" s="1">
        <f t="shared" si="97"/>
        <v>13</v>
      </c>
      <c r="I203" s="40"/>
      <c r="J203" s="2">
        <v>270</v>
      </c>
      <c r="K203" s="60">
        <v>46</v>
      </c>
      <c r="L203" s="60">
        <v>180</v>
      </c>
      <c r="M203" s="60">
        <v>47</v>
      </c>
      <c r="N203" s="11"/>
      <c r="O203" s="46"/>
      <c r="P203" s="38">
        <f t="shared" si="86"/>
        <v>-0.5080409705959289</v>
      </c>
      <c r="Q203" s="38">
        <f t="shared" si="87"/>
        <v>-0.490588564158645</v>
      </c>
      <c r="R203" s="38">
        <f t="shared" si="88"/>
        <v>-0.47375586945672377</v>
      </c>
      <c r="S203" s="62">
        <f t="shared" si="89"/>
        <v>223.99878041602025</v>
      </c>
      <c r="T203" s="12">
        <f t="shared" si="90"/>
        <v>-33.854064779465624</v>
      </c>
      <c r="U203" s="22">
        <f t="shared" si="91"/>
        <v>223.99878041602025</v>
      </c>
      <c r="V203" s="12">
        <f t="shared" si="92"/>
        <v>133.99878041602025</v>
      </c>
      <c r="W203" s="23">
        <f t="shared" si="93"/>
        <v>56.145935220534376</v>
      </c>
      <c r="X203" s="65"/>
      <c r="Y203" s="66"/>
      <c r="Z203" s="27"/>
      <c r="AA203" s="2"/>
      <c r="AB203" s="1"/>
      <c r="AC203" s="83">
        <v>195.8</v>
      </c>
      <c r="AD203" s="84">
        <v>67.4</v>
      </c>
      <c r="AE203" s="22">
        <f t="shared" si="94"/>
        <v>28.19878041602024</v>
      </c>
      <c r="AF203" s="12">
        <f t="shared" si="95"/>
        <v>298.1987804160202</v>
      </c>
      <c r="AG203" s="12">
        <f t="shared" si="96"/>
        <v>56.145935220534376</v>
      </c>
      <c r="AH203" s="48"/>
      <c r="AI203" s="27"/>
      <c r="AM203" s="54"/>
    </row>
    <row r="204" spans="1:39" ht="12.75" customHeight="1">
      <c r="A204" s="89">
        <f>H204/100+110.801</f>
        <v>110.9485</v>
      </c>
      <c r="B204" s="90" t="s">
        <v>49</v>
      </c>
      <c r="C204" s="80" t="s">
        <v>80</v>
      </c>
      <c r="D204" s="58">
        <v>2</v>
      </c>
      <c r="E204" s="2" t="s">
        <v>50</v>
      </c>
      <c r="F204" s="15">
        <v>11</v>
      </c>
      <c r="G204" s="17">
        <v>18.5</v>
      </c>
      <c r="H204" s="1">
        <f t="shared" si="97"/>
        <v>14.75</v>
      </c>
      <c r="I204" s="40"/>
      <c r="J204" s="2">
        <v>90</v>
      </c>
      <c r="K204" s="60">
        <v>41</v>
      </c>
      <c r="L204" s="60">
        <v>0</v>
      </c>
      <c r="M204" s="60">
        <v>38</v>
      </c>
      <c r="N204" s="11"/>
      <c r="O204" s="46"/>
      <c r="P204" s="38">
        <f t="shared" si="86"/>
        <v>0.46464561360236006</v>
      </c>
      <c r="Q204" s="38">
        <f t="shared" si="87"/>
        <v>0.5169815698453039</v>
      </c>
      <c r="R204" s="38">
        <f t="shared" si="88"/>
        <v>-0.5947192650655595</v>
      </c>
      <c r="S204" s="62">
        <f t="shared" si="89"/>
        <v>48.051864344034</v>
      </c>
      <c r="T204" s="12">
        <f t="shared" si="90"/>
        <v>-40.549858140039674</v>
      </c>
      <c r="U204" s="22">
        <f t="shared" si="91"/>
        <v>48.051864344034</v>
      </c>
      <c r="V204" s="12">
        <f t="shared" si="92"/>
        <v>318.051864344034</v>
      </c>
      <c r="W204" s="23">
        <f t="shared" si="93"/>
        <v>49.450141859960326</v>
      </c>
      <c r="X204" s="65"/>
      <c r="Y204" s="66"/>
      <c r="Z204" s="27"/>
      <c r="AA204" s="2"/>
      <c r="AB204" s="1"/>
      <c r="AC204" s="83">
        <v>195.8</v>
      </c>
      <c r="AD204" s="84">
        <v>67.4</v>
      </c>
      <c r="AE204" s="22">
        <f t="shared" si="94"/>
        <v>212.251864344034</v>
      </c>
      <c r="AF204" s="12">
        <f t="shared" si="95"/>
        <v>122.251864344034</v>
      </c>
      <c r="AG204" s="12">
        <f t="shared" si="96"/>
        <v>49.450141859960326</v>
      </c>
      <c r="AH204" s="48"/>
      <c r="AI204" s="27"/>
      <c r="AM204" s="54"/>
    </row>
    <row r="205" spans="1:39" ht="12.75" customHeight="1">
      <c r="A205" s="89">
        <f>H205/100+110.801</f>
        <v>111.016</v>
      </c>
      <c r="B205" s="90" t="s">
        <v>49</v>
      </c>
      <c r="C205" s="80" t="s">
        <v>81</v>
      </c>
      <c r="D205" s="58">
        <v>2</v>
      </c>
      <c r="E205" s="2" t="s">
        <v>50</v>
      </c>
      <c r="F205" s="15">
        <v>14</v>
      </c>
      <c r="G205" s="17">
        <v>29</v>
      </c>
      <c r="H205" s="1">
        <f t="shared" si="97"/>
        <v>21.5</v>
      </c>
      <c r="I205" s="40"/>
      <c r="J205" s="2">
        <v>270</v>
      </c>
      <c r="K205" s="60">
        <v>72</v>
      </c>
      <c r="L205" s="60">
        <v>180</v>
      </c>
      <c r="M205" s="60">
        <v>49</v>
      </c>
      <c r="N205" s="11"/>
      <c r="O205" s="46"/>
      <c r="P205" s="38">
        <f t="shared" si="86"/>
        <v>-0.23321808610641936</v>
      </c>
      <c r="Q205" s="38">
        <f t="shared" si="87"/>
        <v>-0.623949214595693</v>
      </c>
      <c r="R205" s="38">
        <f t="shared" si="88"/>
        <v>-0.20273338927119308</v>
      </c>
      <c r="S205" s="62">
        <f t="shared" si="89"/>
        <v>249.5053953340306</v>
      </c>
      <c r="T205" s="12">
        <f t="shared" si="90"/>
        <v>-16.927834558114846</v>
      </c>
      <c r="U205" s="22">
        <f t="shared" si="91"/>
        <v>249.5053953340306</v>
      </c>
      <c r="V205" s="12">
        <f t="shared" si="92"/>
        <v>159.5053953340306</v>
      </c>
      <c r="W205" s="23">
        <f t="shared" si="93"/>
        <v>73.07216544188515</v>
      </c>
      <c r="X205" s="65"/>
      <c r="Y205" s="66"/>
      <c r="Z205" s="27" t="s">
        <v>51</v>
      </c>
      <c r="AA205" s="1"/>
      <c r="AB205" s="1"/>
      <c r="AC205" s="83">
        <v>195.8</v>
      </c>
      <c r="AD205" s="84">
        <v>67.4</v>
      </c>
      <c r="AE205" s="22">
        <f t="shared" si="94"/>
        <v>53.705395334030584</v>
      </c>
      <c r="AF205" s="12">
        <f t="shared" si="95"/>
        <v>323.7053953340306</v>
      </c>
      <c r="AG205" s="12">
        <f t="shared" si="96"/>
        <v>73.07216544188515</v>
      </c>
      <c r="AH205" s="48"/>
      <c r="AI205" s="27" t="str">
        <f>Z205</f>
        <v>N</v>
      </c>
      <c r="AJ205" s="2" t="s">
        <v>55</v>
      </c>
      <c r="AM205" s="54"/>
    </row>
    <row r="206" spans="1:38" s="54" customFormat="1" ht="12.75" customHeight="1">
      <c r="A206" s="89">
        <f>H206/100+112.144</f>
        <v>112.489</v>
      </c>
      <c r="B206" s="90" t="s">
        <v>49</v>
      </c>
      <c r="C206" s="80" t="s">
        <v>82</v>
      </c>
      <c r="D206" s="58">
        <v>3</v>
      </c>
      <c r="E206" s="2" t="s">
        <v>50</v>
      </c>
      <c r="F206" s="56">
        <v>31</v>
      </c>
      <c r="G206" s="57">
        <v>38</v>
      </c>
      <c r="H206" s="1">
        <f t="shared" si="97"/>
        <v>34.5</v>
      </c>
      <c r="I206" s="59"/>
      <c r="J206" s="55">
        <v>270</v>
      </c>
      <c r="K206" s="60">
        <v>49</v>
      </c>
      <c r="L206" s="60">
        <v>180</v>
      </c>
      <c r="M206" s="60">
        <v>60</v>
      </c>
      <c r="N206" s="60"/>
      <c r="O206" s="61"/>
      <c r="P206" s="38">
        <f t="shared" si="86"/>
        <v>-0.5681637854879308</v>
      </c>
      <c r="Q206" s="38">
        <f t="shared" si="87"/>
        <v>-0.377354790111386</v>
      </c>
      <c r="R206" s="38">
        <f t="shared" si="88"/>
        <v>-0.3280295144952537</v>
      </c>
      <c r="S206" s="62">
        <f t="shared" si="89"/>
        <v>213.59074129539363</v>
      </c>
      <c r="T206" s="12">
        <f t="shared" si="90"/>
        <v>-25.68471257461284</v>
      </c>
      <c r="U206" s="22">
        <f t="shared" si="91"/>
        <v>213.59074129539363</v>
      </c>
      <c r="V206" s="12">
        <f t="shared" si="92"/>
        <v>123.59074129539363</v>
      </c>
      <c r="W206" s="23">
        <f t="shared" si="93"/>
        <v>64.31528742538717</v>
      </c>
      <c r="X206" s="65"/>
      <c r="Y206" s="66"/>
      <c r="Z206" s="67"/>
      <c r="AA206" s="2"/>
      <c r="AB206" s="1"/>
      <c r="AC206" s="83">
        <v>195.8</v>
      </c>
      <c r="AD206" s="84">
        <v>67.4</v>
      </c>
      <c r="AE206" s="22">
        <f t="shared" si="94"/>
        <v>17.790741295393616</v>
      </c>
      <c r="AF206" s="12">
        <f t="shared" si="95"/>
        <v>287.7907412953936</v>
      </c>
      <c r="AG206" s="12">
        <f t="shared" si="96"/>
        <v>64.31528742538717</v>
      </c>
      <c r="AH206" s="48"/>
      <c r="AI206" s="27"/>
      <c r="AL206"/>
    </row>
    <row r="207" spans="1:38" s="54" customFormat="1" ht="12.75" customHeight="1">
      <c r="A207" s="89">
        <f>H207/100+112.144</f>
        <v>112.854</v>
      </c>
      <c r="B207" s="90" t="s">
        <v>49</v>
      </c>
      <c r="C207" s="80" t="s">
        <v>83</v>
      </c>
      <c r="D207" s="58">
        <v>3</v>
      </c>
      <c r="E207" s="55" t="s">
        <v>50</v>
      </c>
      <c r="F207" s="56">
        <v>66</v>
      </c>
      <c r="G207" s="57">
        <v>76</v>
      </c>
      <c r="H207" s="1">
        <f t="shared" si="97"/>
        <v>71</v>
      </c>
      <c r="I207" s="59"/>
      <c r="J207" s="55">
        <v>90</v>
      </c>
      <c r="K207" s="60">
        <v>55</v>
      </c>
      <c r="L207" s="60">
        <v>0</v>
      </c>
      <c r="M207" s="60">
        <v>40</v>
      </c>
      <c r="N207" s="60"/>
      <c r="O207" s="61"/>
      <c r="P207" s="38">
        <f t="shared" si="86"/>
        <v>0.3686878264946124</v>
      </c>
      <c r="Q207" s="38">
        <f t="shared" si="87"/>
        <v>0.6275068715971331</v>
      </c>
      <c r="R207" s="38">
        <f t="shared" si="88"/>
        <v>-0.4393850417707051</v>
      </c>
      <c r="S207" s="62">
        <f t="shared" si="89"/>
        <v>59.563894950646876</v>
      </c>
      <c r="T207" s="12">
        <f t="shared" si="90"/>
        <v>-31.120017441601835</v>
      </c>
      <c r="U207" s="22">
        <f t="shared" si="91"/>
        <v>59.563894950646876</v>
      </c>
      <c r="V207" s="12">
        <f t="shared" si="92"/>
        <v>329.5638949506469</v>
      </c>
      <c r="W207" s="23">
        <f t="shared" si="93"/>
        <v>58.87998255839817</v>
      </c>
      <c r="X207" s="65"/>
      <c r="Y207" s="66"/>
      <c r="Z207" s="67"/>
      <c r="AA207" s="55"/>
      <c r="AB207" s="58"/>
      <c r="AC207" s="83">
        <v>195.8</v>
      </c>
      <c r="AD207" s="84">
        <v>67.4</v>
      </c>
      <c r="AE207" s="22">
        <f t="shared" si="94"/>
        <v>223.76389495064686</v>
      </c>
      <c r="AF207" s="12">
        <f t="shared" si="95"/>
        <v>133.76389495064686</v>
      </c>
      <c r="AG207" s="12">
        <f t="shared" si="96"/>
        <v>58.87998255839817</v>
      </c>
      <c r="AH207" s="48"/>
      <c r="AI207" s="27"/>
      <c r="AL207"/>
    </row>
    <row r="208" spans="1:39" s="54" customFormat="1" ht="12.75" customHeight="1">
      <c r="A208" s="89">
        <f>H208/100+112.144</f>
        <v>113.339</v>
      </c>
      <c r="B208" s="90" t="s">
        <v>49</v>
      </c>
      <c r="C208" s="80" t="s">
        <v>84</v>
      </c>
      <c r="D208" s="58">
        <v>3</v>
      </c>
      <c r="E208" s="55" t="s">
        <v>44</v>
      </c>
      <c r="F208" s="56">
        <v>119</v>
      </c>
      <c r="G208" s="57">
        <v>120</v>
      </c>
      <c r="H208" s="1">
        <f t="shared" si="97"/>
        <v>119.5</v>
      </c>
      <c r="I208" s="59"/>
      <c r="J208" s="55">
        <v>270</v>
      </c>
      <c r="K208" s="60">
        <v>8</v>
      </c>
      <c r="L208" s="60">
        <v>180</v>
      </c>
      <c r="M208" s="60">
        <v>17</v>
      </c>
      <c r="N208" s="60"/>
      <c r="O208" s="61"/>
      <c r="P208" s="38">
        <f t="shared" si="86"/>
        <v>-0.2895263633904652</v>
      </c>
      <c r="Q208" s="38">
        <f t="shared" si="87"/>
        <v>-0.13309189835023422</v>
      </c>
      <c r="R208" s="38">
        <f t="shared" si="88"/>
        <v>-0.9469980638158938</v>
      </c>
      <c r="S208" s="62">
        <f t="shared" si="89"/>
        <v>204.68769109748257</v>
      </c>
      <c r="T208" s="12">
        <f t="shared" si="90"/>
        <v>-71.40262289278921</v>
      </c>
      <c r="U208" s="22">
        <f t="shared" si="91"/>
        <v>204.68769109748257</v>
      </c>
      <c r="V208" s="12">
        <f t="shared" si="92"/>
        <v>114.68769109748257</v>
      </c>
      <c r="W208" s="23">
        <f t="shared" si="93"/>
        <v>18.59737710721079</v>
      </c>
      <c r="X208" s="65"/>
      <c r="Y208" s="66"/>
      <c r="Z208" s="67"/>
      <c r="AA208" s="55"/>
      <c r="AB208" s="58"/>
      <c r="AC208" s="83">
        <v>195.8</v>
      </c>
      <c r="AD208" s="84">
        <v>67.4</v>
      </c>
      <c r="AE208" s="22">
        <f t="shared" si="94"/>
        <v>8.88769109748256</v>
      </c>
      <c r="AF208" s="12">
        <f t="shared" si="95"/>
        <v>278.88769109748256</v>
      </c>
      <c r="AG208" s="12">
        <f t="shared" si="96"/>
        <v>18.59737710721079</v>
      </c>
      <c r="AH208" s="48"/>
      <c r="AI208" s="27"/>
      <c r="AM208"/>
    </row>
    <row r="209" spans="1:38" s="54" customFormat="1" ht="12.75" customHeight="1">
      <c r="A209" s="89">
        <f>H209/100+113.483</f>
        <v>113.578</v>
      </c>
      <c r="B209" s="90" t="s">
        <v>49</v>
      </c>
      <c r="C209" s="80" t="s">
        <v>85</v>
      </c>
      <c r="D209" s="58">
        <v>4</v>
      </c>
      <c r="E209" s="55" t="s">
        <v>50</v>
      </c>
      <c r="F209" s="56">
        <v>6</v>
      </c>
      <c r="G209" s="57">
        <v>13</v>
      </c>
      <c r="H209" s="1">
        <f t="shared" si="97"/>
        <v>9.5</v>
      </c>
      <c r="I209" s="59"/>
      <c r="J209" s="55">
        <v>90</v>
      </c>
      <c r="K209" s="60">
        <v>53</v>
      </c>
      <c r="L209" s="60">
        <v>0</v>
      </c>
      <c r="M209" s="60">
        <v>41</v>
      </c>
      <c r="N209" s="60"/>
      <c r="O209" s="61"/>
      <c r="P209" s="38">
        <f t="shared" si="86"/>
        <v>0.39482617972103246</v>
      </c>
      <c r="Q209" s="38">
        <f t="shared" si="87"/>
        <v>0.6027378705387919</v>
      </c>
      <c r="R209" s="38">
        <f t="shared" si="88"/>
        <v>-0.4541955634948403</v>
      </c>
      <c r="S209" s="62">
        <f t="shared" si="89"/>
        <v>56.77301443000888</v>
      </c>
      <c r="T209" s="12">
        <f t="shared" si="90"/>
        <v>-32.22539310887211</v>
      </c>
      <c r="U209" s="22">
        <f t="shared" si="91"/>
        <v>56.77301443000888</v>
      </c>
      <c r="V209" s="12">
        <f t="shared" si="92"/>
        <v>326.77301443000886</v>
      </c>
      <c r="W209" s="23">
        <f t="shared" si="93"/>
        <v>57.77460689112789</v>
      </c>
      <c r="X209" s="65"/>
      <c r="Y209" s="66"/>
      <c r="Z209" s="67"/>
      <c r="AA209" s="55"/>
      <c r="AB209" s="58"/>
      <c r="AC209" s="83">
        <v>195.8</v>
      </c>
      <c r="AD209" s="84">
        <v>67.4</v>
      </c>
      <c r="AE209" s="22">
        <f t="shared" si="94"/>
        <v>220.97301443000887</v>
      </c>
      <c r="AF209" s="12">
        <f t="shared" si="95"/>
        <v>130.97301443000887</v>
      </c>
      <c r="AG209" s="12">
        <f t="shared" si="96"/>
        <v>57.77460689112789</v>
      </c>
      <c r="AH209" s="48"/>
      <c r="AI209" s="27"/>
      <c r="AL209"/>
    </row>
    <row r="210" spans="1:39" s="54" customFormat="1" ht="12.75" customHeight="1">
      <c r="A210" s="89">
        <f>H210/100+114.464</f>
        <v>114.869</v>
      </c>
      <c r="B210" s="90" t="s">
        <v>49</v>
      </c>
      <c r="C210" s="80" t="s">
        <v>86</v>
      </c>
      <c r="D210" s="58">
        <v>6</v>
      </c>
      <c r="E210" s="55" t="s">
        <v>44</v>
      </c>
      <c r="F210" s="56">
        <v>40</v>
      </c>
      <c r="G210" s="57">
        <v>41</v>
      </c>
      <c r="H210" s="1">
        <f t="shared" si="97"/>
        <v>40.5</v>
      </c>
      <c r="I210" s="59"/>
      <c r="J210" s="55">
        <v>90</v>
      </c>
      <c r="K210" s="60">
        <v>4</v>
      </c>
      <c r="L210" s="60">
        <v>180</v>
      </c>
      <c r="M210" s="60">
        <v>4</v>
      </c>
      <c r="N210" s="60"/>
      <c r="O210" s="61"/>
      <c r="P210" s="38">
        <f t="shared" si="86"/>
        <v>0.0695865504800327</v>
      </c>
      <c r="Q210" s="38">
        <f t="shared" si="87"/>
        <v>-0.06958655048003272</v>
      </c>
      <c r="R210" s="38">
        <f t="shared" si="88"/>
        <v>0.9951340343707851</v>
      </c>
      <c r="S210" s="62">
        <f t="shared" si="89"/>
        <v>315</v>
      </c>
      <c r="T210" s="12">
        <f t="shared" si="90"/>
        <v>84.35230034984484</v>
      </c>
      <c r="U210" s="22">
        <f t="shared" si="91"/>
        <v>135</v>
      </c>
      <c r="V210" s="12">
        <f t="shared" si="92"/>
        <v>45</v>
      </c>
      <c r="W210" s="23">
        <f t="shared" si="93"/>
        <v>5.647699650155161</v>
      </c>
      <c r="X210" s="65"/>
      <c r="Y210" s="66"/>
      <c r="Z210" s="67"/>
      <c r="AA210" s="55"/>
      <c r="AB210" s="58"/>
      <c r="AC210" s="83">
        <v>195.8</v>
      </c>
      <c r="AD210" s="84">
        <v>67.4</v>
      </c>
      <c r="AE210" s="22">
        <f t="shared" si="94"/>
        <v>299.2</v>
      </c>
      <c r="AF210" s="12">
        <f t="shared" si="95"/>
        <v>209.2</v>
      </c>
      <c r="AG210" s="12">
        <f t="shared" si="96"/>
        <v>5.647699650155161</v>
      </c>
      <c r="AH210" s="48"/>
      <c r="AI210" s="27"/>
      <c r="AM210"/>
    </row>
    <row r="211" spans="1:39" s="54" customFormat="1" ht="12.75" customHeight="1">
      <c r="A211" s="89">
        <f>H211/100+115.813</f>
        <v>115.943</v>
      </c>
      <c r="B211" s="90" t="s">
        <v>49</v>
      </c>
      <c r="C211" s="80" t="s">
        <v>87</v>
      </c>
      <c r="D211" s="58">
        <v>7</v>
      </c>
      <c r="E211" s="55" t="s">
        <v>44</v>
      </c>
      <c r="F211" s="56">
        <v>12</v>
      </c>
      <c r="G211" s="57">
        <v>14</v>
      </c>
      <c r="H211" s="1">
        <f t="shared" si="97"/>
        <v>13</v>
      </c>
      <c r="I211" s="59"/>
      <c r="J211" s="55">
        <v>90</v>
      </c>
      <c r="K211" s="60">
        <v>10</v>
      </c>
      <c r="L211" s="60">
        <v>180</v>
      </c>
      <c r="M211" s="60">
        <v>7</v>
      </c>
      <c r="N211" s="60"/>
      <c r="O211" s="61"/>
      <c r="P211" s="38">
        <f t="shared" si="86"/>
        <v>0.1200178742398964</v>
      </c>
      <c r="Q211" s="38">
        <f t="shared" si="87"/>
        <v>-0.17235383048284025</v>
      </c>
      <c r="R211" s="38">
        <f t="shared" si="88"/>
        <v>0.9774671453588046</v>
      </c>
      <c r="S211" s="62">
        <f t="shared" si="89"/>
        <v>304.851263749451</v>
      </c>
      <c r="T211" s="12">
        <f t="shared" si="90"/>
        <v>77.87347698248591</v>
      </c>
      <c r="U211" s="22">
        <f t="shared" si="91"/>
        <v>124.851263749451</v>
      </c>
      <c r="V211" s="12">
        <f t="shared" si="92"/>
        <v>34.85126374945099</v>
      </c>
      <c r="W211" s="23">
        <f t="shared" si="93"/>
        <v>12.126523017514089</v>
      </c>
      <c r="X211" s="65"/>
      <c r="Y211" s="66"/>
      <c r="Z211" s="67"/>
      <c r="AA211" s="55"/>
      <c r="AB211" s="58"/>
      <c r="AC211" s="83">
        <v>195.8</v>
      </c>
      <c r="AD211" s="84">
        <v>67.4</v>
      </c>
      <c r="AE211" s="22">
        <f t="shared" si="94"/>
        <v>289.051263749451</v>
      </c>
      <c r="AF211" s="12">
        <f t="shared" si="95"/>
        <v>199.05126374945098</v>
      </c>
      <c r="AG211" s="12">
        <f t="shared" si="96"/>
        <v>12.126523017514089</v>
      </c>
      <c r="AH211" s="48"/>
      <c r="AI211" s="27"/>
      <c r="AM211"/>
    </row>
    <row r="212" spans="1:38" s="54" customFormat="1" ht="12.75" customHeight="1">
      <c r="A212" s="89">
        <f>H212/100+115.813</f>
        <v>117.048</v>
      </c>
      <c r="B212" s="90" t="s">
        <v>49</v>
      </c>
      <c r="C212" s="80" t="s">
        <v>88</v>
      </c>
      <c r="D212" s="58">
        <v>7</v>
      </c>
      <c r="E212" s="55" t="s">
        <v>50</v>
      </c>
      <c r="F212" s="56">
        <v>112</v>
      </c>
      <c r="G212" s="57">
        <v>135</v>
      </c>
      <c r="H212" s="1">
        <f t="shared" si="97"/>
        <v>123.5</v>
      </c>
      <c r="I212" s="59"/>
      <c r="J212" s="55">
        <v>270</v>
      </c>
      <c r="K212" s="60">
        <v>70</v>
      </c>
      <c r="L212" s="60">
        <v>180</v>
      </c>
      <c r="M212" s="60">
        <v>59</v>
      </c>
      <c r="N212" s="60"/>
      <c r="O212" s="61"/>
      <c r="P212" s="38">
        <f t="shared" si="86"/>
        <v>-0.29316848304021315</v>
      </c>
      <c r="Q212" s="38">
        <f t="shared" si="87"/>
        <v>-0.4839774784167579</v>
      </c>
      <c r="R212" s="38">
        <f t="shared" si="88"/>
        <v>-0.17615339619891335</v>
      </c>
      <c r="S212" s="62">
        <f t="shared" si="89"/>
        <v>238.79469041230598</v>
      </c>
      <c r="T212" s="12">
        <f t="shared" si="90"/>
        <v>-17.29186968910627</v>
      </c>
      <c r="U212" s="22">
        <f t="shared" si="91"/>
        <v>238.79469041230598</v>
      </c>
      <c r="V212" s="12">
        <f t="shared" si="92"/>
        <v>148.79469041230598</v>
      </c>
      <c r="W212" s="23">
        <f t="shared" si="93"/>
        <v>72.70813031089372</v>
      </c>
      <c r="X212" s="65"/>
      <c r="Y212" s="66"/>
      <c r="Z212" s="67"/>
      <c r="AA212" s="55"/>
      <c r="AB212" s="58"/>
      <c r="AC212" s="83">
        <v>195.8</v>
      </c>
      <c r="AD212" s="84">
        <v>67.4</v>
      </c>
      <c r="AE212" s="22">
        <f t="shared" si="94"/>
        <v>42.99469041230597</v>
      </c>
      <c r="AF212" s="12">
        <f t="shared" si="95"/>
        <v>312.994690412306</v>
      </c>
      <c r="AG212" s="12">
        <f t="shared" si="96"/>
        <v>72.70813031089372</v>
      </c>
      <c r="AH212" s="48"/>
      <c r="AI212" s="27"/>
      <c r="AL212"/>
    </row>
    <row r="213" spans="1:38" s="54" customFormat="1" ht="12.75" customHeight="1">
      <c r="A213" s="89">
        <f>H213/100+117.204</f>
        <v>118.294</v>
      </c>
      <c r="B213" s="90" t="s">
        <v>49</v>
      </c>
      <c r="C213" s="80" t="s">
        <v>89</v>
      </c>
      <c r="D213" s="58">
        <v>8</v>
      </c>
      <c r="E213" s="55" t="s">
        <v>50</v>
      </c>
      <c r="F213" s="56">
        <v>105</v>
      </c>
      <c r="G213" s="57">
        <v>113</v>
      </c>
      <c r="H213" s="1">
        <f t="shared" si="97"/>
        <v>109</v>
      </c>
      <c r="I213" s="59"/>
      <c r="J213" s="55">
        <v>90</v>
      </c>
      <c r="K213" s="60">
        <v>40</v>
      </c>
      <c r="L213" s="60">
        <v>0</v>
      </c>
      <c r="M213" s="60">
        <v>41</v>
      </c>
      <c r="N213" s="60"/>
      <c r="O213" s="61"/>
      <c r="P213" s="38">
        <f t="shared" si="86"/>
        <v>0.5025703735162105</v>
      </c>
      <c r="Q213" s="38">
        <f t="shared" si="87"/>
        <v>0.48511796707892707</v>
      </c>
      <c r="R213" s="38">
        <f t="shared" si="88"/>
        <v>-0.5781410800983111</v>
      </c>
      <c r="S213" s="62">
        <f t="shared" si="89"/>
        <v>43.987691623825846</v>
      </c>
      <c r="T213" s="12">
        <f t="shared" si="90"/>
        <v>-39.61379012040818</v>
      </c>
      <c r="U213" s="22">
        <f t="shared" si="91"/>
        <v>43.987691623825846</v>
      </c>
      <c r="V213" s="12">
        <f t="shared" si="92"/>
        <v>313.98769162382587</v>
      </c>
      <c r="W213" s="23">
        <f t="shared" si="93"/>
        <v>50.38620987959182</v>
      </c>
      <c r="X213" s="65"/>
      <c r="Y213" s="66"/>
      <c r="Z213" s="67"/>
      <c r="AA213" s="55"/>
      <c r="AB213" s="58"/>
      <c r="AC213" s="83">
        <v>195.8</v>
      </c>
      <c r="AD213" s="84">
        <v>67.4</v>
      </c>
      <c r="AE213" s="22">
        <f t="shared" si="94"/>
        <v>208.18769162382583</v>
      </c>
      <c r="AF213" s="12">
        <f t="shared" si="95"/>
        <v>118.18769162382583</v>
      </c>
      <c r="AG213" s="12">
        <f t="shared" si="96"/>
        <v>50.38620987959182</v>
      </c>
      <c r="AH213" s="48"/>
      <c r="AI213" s="27"/>
      <c r="AL213"/>
    </row>
    <row r="214" spans="1:35" s="54" customFormat="1" ht="12.75" customHeight="1">
      <c r="A214" s="89">
        <f>H214/100+117.204</f>
        <v>118.529</v>
      </c>
      <c r="B214" s="90" t="s">
        <v>49</v>
      </c>
      <c r="C214" s="80" t="s">
        <v>90</v>
      </c>
      <c r="D214" s="58">
        <v>8</v>
      </c>
      <c r="E214" s="55" t="s">
        <v>50</v>
      </c>
      <c r="F214" s="56">
        <v>128</v>
      </c>
      <c r="G214" s="57">
        <v>137</v>
      </c>
      <c r="H214" s="1">
        <f t="shared" si="97"/>
        <v>132.5</v>
      </c>
      <c r="I214" s="59"/>
      <c r="J214" s="55">
        <v>270</v>
      </c>
      <c r="K214" s="60">
        <v>54</v>
      </c>
      <c r="L214" s="60">
        <v>180</v>
      </c>
      <c r="M214" s="60">
        <v>43</v>
      </c>
      <c r="N214" s="60"/>
      <c r="O214" s="61"/>
      <c r="P214" s="38">
        <f t="shared" si="86"/>
        <v>-0.40086857813238863</v>
      </c>
      <c r="Q214" s="38">
        <f t="shared" si="87"/>
        <v>-0.5916775735089334</v>
      </c>
      <c r="R214" s="38">
        <f t="shared" si="88"/>
        <v>-0.42987892002125827</v>
      </c>
      <c r="S214" s="62">
        <f t="shared" si="89"/>
        <v>235.88189390512028</v>
      </c>
      <c r="T214" s="12">
        <f t="shared" si="90"/>
        <v>-31.026584566617572</v>
      </c>
      <c r="U214" s="22">
        <f t="shared" si="91"/>
        <v>235.88189390512028</v>
      </c>
      <c r="V214" s="12">
        <f t="shared" si="92"/>
        <v>145.88189390512028</v>
      </c>
      <c r="W214" s="23">
        <f t="shared" si="93"/>
        <v>58.97341543338243</v>
      </c>
      <c r="X214" s="65"/>
      <c r="Y214" s="66"/>
      <c r="Z214" s="67"/>
      <c r="AA214" s="55"/>
      <c r="AB214" s="58"/>
      <c r="AC214" s="83">
        <v>195.8</v>
      </c>
      <c r="AD214" s="84">
        <v>67.4</v>
      </c>
      <c r="AE214" s="22">
        <f t="shared" si="94"/>
        <v>40.08189390512027</v>
      </c>
      <c r="AF214" s="12">
        <f t="shared" si="95"/>
        <v>310.0818939051203</v>
      </c>
      <c r="AG214" s="12">
        <f t="shared" si="96"/>
        <v>58.97341543338243</v>
      </c>
      <c r="AH214" s="48"/>
      <c r="AI214" s="27"/>
    </row>
    <row r="215" spans="1:35" s="54" customFormat="1" ht="12.75" customHeight="1">
      <c r="A215" s="89">
        <f>H215/100+118.571</f>
        <v>118.65599999999999</v>
      </c>
      <c r="B215" s="90" t="s">
        <v>49</v>
      </c>
      <c r="C215" s="80" t="s">
        <v>91</v>
      </c>
      <c r="D215" s="58" t="s">
        <v>73</v>
      </c>
      <c r="E215" s="55" t="s">
        <v>50</v>
      </c>
      <c r="F215" s="56">
        <v>6</v>
      </c>
      <c r="G215" s="57">
        <v>11</v>
      </c>
      <c r="H215" s="1">
        <f t="shared" si="97"/>
        <v>8.5</v>
      </c>
      <c r="I215" s="59"/>
      <c r="J215" s="55">
        <v>90</v>
      </c>
      <c r="K215" s="60">
        <v>39</v>
      </c>
      <c r="L215" s="60">
        <v>0</v>
      </c>
      <c r="M215" s="60">
        <v>38</v>
      </c>
      <c r="N215" s="60"/>
      <c r="O215" s="61"/>
      <c r="P215" s="38">
        <f t="shared" si="86"/>
        <v>0.4784588291739758</v>
      </c>
      <c r="Q215" s="38">
        <f t="shared" si="87"/>
        <v>0.4959112356112593</v>
      </c>
      <c r="R215" s="38">
        <f t="shared" si="88"/>
        <v>-0.6123993747501282</v>
      </c>
      <c r="S215" s="62">
        <f t="shared" si="89"/>
        <v>46.026142276962524</v>
      </c>
      <c r="T215" s="12">
        <f t="shared" si="90"/>
        <v>-41.62755656950537</v>
      </c>
      <c r="U215" s="22">
        <f t="shared" si="91"/>
        <v>46.026142276962524</v>
      </c>
      <c r="V215" s="12">
        <f t="shared" si="92"/>
        <v>316.0261422769625</v>
      </c>
      <c r="W215" s="23">
        <f t="shared" si="93"/>
        <v>48.37244343049463</v>
      </c>
      <c r="X215" s="65"/>
      <c r="Y215" s="66"/>
      <c r="Z215" s="67"/>
      <c r="AA215" s="55"/>
      <c r="AB215" s="58"/>
      <c r="AC215" s="83">
        <v>195.8</v>
      </c>
      <c r="AD215" s="84">
        <v>67.4</v>
      </c>
      <c r="AE215" s="22">
        <f t="shared" si="94"/>
        <v>210.22614227696252</v>
      </c>
      <c r="AF215" s="12">
        <f t="shared" si="95"/>
        <v>120.22614227696252</v>
      </c>
      <c r="AG215" s="12">
        <f t="shared" si="96"/>
        <v>48.37244343049463</v>
      </c>
      <c r="AH215" s="48"/>
      <c r="AI215" s="27"/>
    </row>
    <row r="216" spans="1:35" s="54" customFormat="1" ht="12.75" customHeight="1">
      <c r="A216" s="89">
        <f>H216/100+119</f>
        <v>119.7075</v>
      </c>
      <c r="B216" s="90" t="s">
        <v>49</v>
      </c>
      <c r="C216" s="80" t="s">
        <v>92</v>
      </c>
      <c r="D216" s="58">
        <v>1</v>
      </c>
      <c r="E216" s="55" t="s">
        <v>50</v>
      </c>
      <c r="F216" s="56">
        <v>69.5</v>
      </c>
      <c r="G216" s="57">
        <v>72</v>
      </c>
      <c r="H216" s="1">
        <f t="shared" si="97"/>
        <v>70.75</v>
      </c>
      <c r="I216" s="59"/>
      <c r="J216" s="55">
        <v>270</v>
      </c>
      <c r="K216" s="60">
        <v>21</v>
      </c>
      <c r="L216" s="60">
        <v>45</v>
      </c>
      <c r="M216" s="60">
        <v>0</v>
      </c>
      <c r="N216" s="60"/>
      <c r="O216" s="61"/>
      <c r="P216" s="38">
        <f t="shared" si="86"/>
        <v>-0.2534044072834003</v>
      </c>
      <c r="Q216" s="38">
        <f t="shared" si="87"/>
        <v>0.25340440728340036</v>
      </c>
      <c r="R216" s="38">
        <f t="shared" si="88"/>
        <v>0.6601410503592005</v>
      </c>
      <c r="S216" s="62">
        <f t="shared" si="89"/>
        <v>135</v>
      </c>
      <c r="T216" s="12">
        <f t="shared" si="90"/>
        <v>61.503981610489745</v>
      </c>
      <c r="U216" s="22">
        <f t="shared" si="91"/>
        <v>315</v>
      </c>
      <c r="V216" s="12">
        <f t="shared" si="92"/>
        <v>225</v>
      </c>
      <c r="W216" s="23">
        <f t="shared" si="93"/>
        <v>28.496018389510255</v>
      </c>
      <c r="X216" s="65"/>
      <c r="Y216" s="66"/>
      <c r="Z216" s="67"/>
      <c r="AA216" s="55"/>
      <c r="AB216" s="58"/>
      <c r="AC216" s="68">
        <v>155.4</v>
      </c>
      <c r="AD216" s="69">
        <v>68.1</v>
      </c>
      <c r="AE216" s="22">
        <f t="shared" si="94"/>
        <v>159.6</v>
      </c>
      <c r="AF216" s="12">
        <f t="shared" si="95"/>
        <v>69.6</v>
      </c>
      <c r="AG216" s="12">
        <f t="shared" si="96"/>
        <v>28.496018389510255</v>
      </c>
      <c r="AH216" s="48"/>
      <c r="AI216" s="27"/>
    </row>
    <row r="217" spans="1:39" s="54" customFormat="1" ht="12.75" customHeight="1">
      <c r="A217" s="89">
        <f>H217/100+121.289</f>
        <v>121.4465</v>
      </c>
      <c r="B217" s="90" t="s">
        <v>49</v>
      </c>
      <c r="C217" s="80" t="s">
        <v>92</v>
      </c>
      <c r="D217" s="58">
        <v>4</v>
      </c>
      <c r="E217" s="55" t="s">
        <v>44</v>
      </c>
      <c r="F217" s="56">
        <v>15</v>
      </c>
      <c r="G217" s="57">
        <v>16.5</v>
      </c>
      <c r="H217" s="1">
        <f t="shared" si="97"/>
        <v>15.75</v>
      </c>
      <c r="I217" s="59"/>
      <c r="J217" s="55">
        <v>90</v>
      </c>
      <c r="K217" s="60">
        <v>15</v>
      </c>
      <c r="L217" s="60">
        <v>0</v>
      </c>
      <c r="M217" s="60">
        <v>28</v>
      </c>
      <c r="N217" s="60"/>
      <c r="O217" s="61"/>
      <c r="P217" s="38">
        <f t="shared" si="86"/>
        <v>0.4534747072031818</v>
      </c>
      <c r="Q217" s="38">
        <f t="shared" si="87"/>
        <v>0.22852365285931672</v>
      </c>
      <c r="R217" s="38">
        <f t="shared" si="88"/>
        <v>-0.8528618832022029</v>
      </c>
      <c r="S217" s="62">
        <f t="shared" si="89"/>
        <v>26.745323300895002</v>
      </c>
      <c r="T217" s="12">
        <f t="shared" si="90"/>
        <v>-59.23005733278962</v>
      </c>
      <c r="U217" s="22">
        <f t="shared" si="91"/>
        <v>26.745323300895002</v>
      </c>
      <c r="V217" s="12">
        <f t="shared" si="92"/>
        <v>296.745323300895</v>
      </c>
      <c r="W217" s="23">
        <f t="shared" si="93"/>
        <v>30.76994266721038</v>
      </c>
      <c r="X217" s="65"/>
      <c r="Y217" s="66"/>
      <c r="Z217" s="67"/>
      <c r="AA217" s="55"/>
      <c r="AB217" s="58"/>
      <c r="AC217" s="68">
        <v>155.4</v>
      </c>
      <c r="AD217" s="69">
        <v>68.1</v>
      </c>
      <c r="AE217" s="22">
        <f t="shared" si="94"/>
        <v>231.345323300895</v>
      </c>
      <c r="AF217" s="12">
        <f t="shared" si="95"/>
        <v>141.345323300895</v>
      </c>
      <c r="AG217" s="12">
        <f t="shared" si="96"/>
        <v>30.76994266721038</v>
      </c>
      <c r="AH217" s="48"/>
      <c r="AI217" s="27"/>
      <c r="AM217"/>
    </row>
    <row r="218" spans="1:35" s="54" customFormat="1" ht="12.75" customHeight="1">
      <c r="A218" s="89">
        <f>H218/100+121.86</f>
        <v>122.67</v>
      </c>
      <c r="B218" s="90" t="s">
        <v>49</v>
      </c>
      <c r="C218" s="80" t="s">
        <v>92</v>
      </c>
      <c r="D218" s="58">
        <v>6</v>
      </c>
      <c r="E218" s="55" t="s">
        <v>50</v>
      </c>
      <c r="F218" s="56">
        <v>78</v>
      </c>
      <c r="G218" s="57">
        <v>84</v>
      </c>
      <c r="H218" s="1">
        <f t="shared" si="97"/>
        <v>81</v>
      </c>
      <c r="I218" s="59"/>
      <c r="J218" s="55">
        <v>270</v>
      </c>
      <c r="K218" s="60">
        <v>44</v>
      </c>
      <c r="L218" s="60">
        <v>0</v>
      </c>
      <c r="M218" s="60">
        <v>49</v>
      </c>
      <c r="N218" s="60"/>
      <c r="O218" s="61"/>
      <c r="P218" s="38">
        <f t="shared" si="86"/>
        <v>-0.542892638751116</v>
      </c>
      <c r="Q218" s="38">
        <f t="shared" si="87"/>
        <v>0.45573689600345796</v>
      </c>
      <c r="R218" s="38">
        <f t="shared" si="88"/>
        <v>0.4719293709244009</v>
      </c>
      <c r="S218" s="62">
        <f t="shared" si="89"/>
        <v>139.98787068345916</v>
      </c>
      <c r="T218" s="12">
        <f t="shared" si="90"/>
        <v>33.655436969334936</v>
      </c>
      <c r="U218" s="22">
        <f t="shared" si="91"/>
        <v>319.98787068345916</v>
      </c>
      <c r="V218" s="12">
        <f t="shared" si="92"/>
        <v>229.98787068345916</v>
      </c>
      <c r="W218" s="23">
        <f t="shared" si="93"/>
        <v>56.344563030665064</v>
      </c>
      <c r="X218" s="65"/>
      <c r="Y218" s="66"/>
      <c r="Z218" s="67"/>
      <c r="AA218" s="55"/>
      <c r="AB218" s="58"/>
      <c r="AC218" s="68">
        <v>155.4</v>
      </c>
      <c r="AD218" s="69">
        <v>68.1</v>
      </c>
      <c r="AE218" s="22">
        <f t="shared" si="94"/>
        <v>164.58787068345916</v>
      </c>
      <c r="AF218" s="12">
        <f t="shared" si="95"/>
        <v>74.58787068345916</v>
      </c>
      <c r="AG218" s="12">
        <f t="shared" si="96"/>
        <v>56.344563030665064</v>
      </c>
      <c r="AH218" s="48"/>
      <c r="AI218" s="27"/>
    </row>
    <row r="219" spans="1:35" s="54" customFormat="1" ht="12.75" customHeight="1">
      <c r="A219" s="89">
        <f>H219/100+121.86</f>
        <v>122.685</v>
      </c>
      <c r="B219" s="90" t="s">
        <v>49</v>
      </c>
      <c r="C219" s="80" t="s">
        <v>92</v>
      </c>
      <c r="D219" s="58">
        <v>6</v>
      </c>
      <c r="E219" s="55" t="s">
        <v>50</v>
      </c>
      <c r="F219" s="56">
        <v>77</v>
      </c>
      <c r="G219" s="57">
        <v>88</v>
      </c>
      <c r="H219" s="1">
        <f t="shared" si="97"/>
        <v>82.5</v>
      </c>
      <c r="I219" s="59"/>
      <c r="J219" s="55">
        <v>90</v>
      </c>
      <c r="K219" s="60">
        <v>56</v>
      </c>
      <c r="L219" s="60">
        <v>180</v>
      </c>
      <c r="M219" s="60">
        <v>54</v>
      </c>
      <c r="N219" s="60"/>
      <c r="O219" s="61"/>
      <c r="P219" s="38">
        <f t="shared" si="86"/>
        <v>0.45239656204170364</v>
      </c>
      <c r="Q219" s="38">
        <f t="shared" si="87"/>
        <v>-0.48729605874420473</v>
      </c>
      <c r="R219" s="38">
        <f t="shared" si="88"/>
        <v>0.3286853418467135</v>
      </c>
      <c r="S219" s="62">
        <f t="shared" si="89"/>
        <v>312.873054208759</v>
      </c>
      <c r="T219" s="12">
        <f t="shared" si="90"/>
        <v>26.30421424428248</v>
      </c>
      <c r="U219" s="22">
        <f t="shared" si="91"/>
        <v>132.87305420875902</v>
      </c>
      <c r="V219" s="12">
        <f t="shared" si="92"/>
        <v>42.873054208759015</v>
      </c>
      <c r="W219" s="23">
        <f t="shared" si="93"/>
        <v>63.69578575571752</v>
      </c>
      <c r="X219" s="65"/>
      <c r="Y219" s="66"/>
      <c r="Z219" s="67"/>
      <c r="AA219" s="55"/>
      <c r="AB219" s="58"/>
      <c r="AC219" s="68">
        <v>155.4</v>
      </c>
      <c r="AD219" s="69">
        <v>68.1</v>
      </c>
      <c r="AE219" s="22">
        <f t="shared" si="94"/>
        <v>337.473054208759</v>
      </c>
      <c r="AF219" s="12">
        <f t="shared" si="95"/>
        <v>247.47305420875898</v>
      </c>
      <c r="AG219" s="12">
        <f t="shared" si="96"/>
        <v>63.69578575571752</v>
      </c>
      <c r="AH219" s="48"/>
      <c r="AI219" s="27"/>
    </row>
    <row r="220" spans="1:39" s="54" customFormat="1" ht="12.75" customHeight="1">
      <c r="A220" s="89">
        <f>H220/100+122.705</f>
        <v>123.3545</v>
      </c>
      <c r="B220" s="90" t="s">
        <v>49</v>
      </c>
      <c r="C220" s="80" t="s">
        <v>92</v>
      </c>
      <c r="D220" s="58">
        <v>7</v>
      </c>
      <c r="E220" s="55" t="s">
        <v>44</v>
      </c>
      <c r="F220" s="56">
        <v>64.7</v>
      </c>
      <c r="G220" s="57">
        <v>65.2</v>
      </c>
      <c r="H220" s="1">
        <f t="shared" si="97"/>
        <v>64.95</v>
      </c>
      <c r="I220" s="59"/>
      <c r="J220" s="55">
        <v>90</v>
      </c>
      <c r="K220" s="60">
        <v>5</v>
      </c>
      <c r="L220" s="60">
        <v>180</v>
      </c>
      <c r="M220" s="60">
        <v>7</v>
      </c>
      <c r="N220" s="60"/>
      <c r="O220" s="61"/>
      <c r="P220" s="38">
        <f t="shared" si="86"/>
        <v>0.12140559376013013</v>
      </c>
      <c r="Q220" s="38">
        <f t="shared" si="87"/>
        <v>-0.08650609705762918</v>
      </c>
      <c r="R220" s="38">
        <f t="shared" si="88"/>
        <v>0.9887692138764507</v>
      </c>
      <c r="S220" s="62">
        <f t="shared" si="89"/>
        <v>324.5286843340475</v>
      </c>
      <c r="T220" s="12">
        <f t="shared" si="90"/>
        <v>81.42632981513503</v>
      </c>
      <c r="U220" s="22">
        <f t="shared" si="91"/>
        <v>144.5286843340475</v>
      </c>
      <c r="V220" s="12">
        <f t="shared" si="92"/>
        <v>54.52868433404751</v>
      </c>
      <c r="W220" s="23">
        <f t="shared" si="93"/>
        <v>8.573670184864966</v>
      </c>
      <c r="X220" s="65"/>
      <c r="Y220" s="66"/>
      <c r="Z220" s="67"/>
      <c r="AA220" s="55"/>
      <c r="AB220" s="58"/>
      <c r="AC220" s="68">
        <v>155.4</v>
      </c>
      <c r="AD220" s="69">
        <v>68.1</v>
      </c>
      <c r="AE220" s="22">
        <f t="shared" si="94"/>
        <v>349.12868433404753</v>
      </c>
      <c r="AF220" s="12">
        <f t="shared" si="95"/>
        <v>259.12868433404753</v>
      </c>
      <c r="AG220" s="12">
        <f t="shared" si="96"/>
        <v>8.573670184864966</v>
      </c>
      <c r="AH220" s="48"/>
      <c r="AI220" s="27"/>
      <c r="AM220"/>
    </row>
    <row r="221" spans="1:39" s="54" customFormat="1" ht="12.75" customHeight="1">
      <c r="A221" s="89">
        <f>H221/100+125</f>
        <v>125.1135</v>
      </c>
      <c r="B221" s="90" t="s">
        <v>49</v>
      </c>
      <c r="C221" s="80" t="s">
        <v>93</v>
      </c>
      <c r="D221" s="58">
        <v>1</v>
      </c>
      <c r="E221" s="55" t="s">
        <v>44</v>
      </c>
      <c r="F221" s="56">
        <v>11.2</v>
      </c>
      <c r="G221" s="57">
        <v>11.5</v>
      </c>
      <c r="H221" s="1">
        <f t="shared" si="97"/>
        <v>11.35</v>
      </c>
      <c r="I221" s="59"/>
      <c r="J221" s="55">
        <v>90</v>
      </c>
      <c r="K221" s="60">
        <v>1</v>
      </c>
      <c r="L221" s="60">
        <v>0</v>
      </c>
      <c r="M221" s="60">
        <v>7</v>
      </c>
      <c r="N221" s="60"/>
      <c r="O221" s="61"/>
      <c r="P221" s="38">
        <f t="shared" si="86"/>
        <v>0.12185078211385945</v>
      </c>
      <c r="Q221" s="38">
        <f t="shared" si="87"/>
        <v>0.017322318846205977</v>
      </c>
      <c r="R221" s="38">
        <f t="shared" si="88"/>
        <v>-0.9923949820549218</v>
      </c>
      <c r="S221" s="62">
        <f t="shared" si="89"/>
        <v>8.09095943729799</v>
      </c>
      <c r="T221" s="12">
        <f t="shared" si="90"/>
        <v>-82.93032926402522</v>
      </c>
      <c r="U221" s="22">
        <f t="shared" si="91"/>
        <v>8.09095943729799</v>
      </c>
      <c r="V221" s="12">
        <f t="shared" si="92"/>
        <v>278.090959437298</v>
      </c>
      <c r="W221" s="23">
        <f t="shared" si="93"/>
        <v>7.069670735974782</v>
      </c>
      <c r="X221" s="65"/>
      <c r="Y221" s="66"/>
      <c r="Z221" s="67"/>
      <c r="AA221" s="55"/>
      <c r="AB221" s="58"/>
      <c r="AC221" s="68">
        <v>74.8</v>
      </c>
      <c r="AD221" s="69">
        <v>67.1</v>
      </c>
      <c r="AE221" s="22">
        <f t="shared" si="94"/>
        <v>293.290959437298</v>
      </c>
      <c r="AF221" s="12">
        <f t="shared" si="95"/>
        <v>203.290959437298</v>
      </c>
      <c r="AG221" s="12">
        <f t="shared" si="96"/>
        <v>7.069670735974782</v>
      </c>
      <c r="AH221" s="48"/>
      <c r="AI221" s="27"/>
      <c r="AM221"/>
    </row>
    <row r="222" spans="1:35" s="54" customFormat="1" ht="12.75" customHeight="1">
      <c r="A222" s="89">
        <f>H222/100+125</f>
        <v>125.2275</v>
      </c>
      <c r="B222" s="90" t="s">
        <v>49</v>
      </c>
      <c r="C222" s="80" t="s">
        <v>93</v>
      </c>
      <c r="D222" s="58">
        <v>1</v>
      </c>
      <c r="E222" s="55" t="s">
        <v>50</v>
      </c>
      <c r="F222" s="56">
        <v>21</v>
      </c>
      <c r="G222" s="57">
        <v>24.5</v>
      </c>
      <c r="H222" s="1">
        <f t="shared" si="97"/>
        <v>22.75</v>
      </c>
      <c r="I222" s="59"/>
      <c r="J222" s="55">
        <v>270</v>
      </c>
      <c r="K222" s="60">
        <v>31</v>
      </c>
      <c r="L222" s="60">
        <v>180</v>
      </c>
      <c r="M222" s="60">
        <v>56</v>
      </c>
      <c r="N222" s="60"/>
      <c r="O222" s="61"/>
      <c r="P222" s="38">
        <f t="shared" si="86"/>
        <v>-0.7106238982476367</v>
      </c>
      <c r="Q222" s="38">
        <f t="shared" si="87"/>
        <v>-0.28800563650693706</v>
      </c>
      <c r="R222" s="38">
        <f t="shared" si="88"/>
        <v>-0.4793218716397969</v>
      </c>
      <c r="S222" s="62">
        <f t="shared" si="89"/>
        <v>202.0620041488409</v>
      </c>
      <c r="T222" s="12">
        <f t="shared" si="90"/>
        <v>-32.01031068356448</v>
      </c>
      <c r="U222" s="22">
        <f t="shared" si="91"/>
        <v>202.0620041488409</v>
      </c>
      <c r="V222" s="12">
        <f t="shared" si="92"/>
        <v>112.06200414884091</v>
      </c>
      <c r="W222" s="23">
        <f t="shared" si="93"/>
        <v>57.98968931643552</v>
      </c>
      <c r="X222" s="65"/>
      <c r="Y222" s="66"/>
      <c r="Z222" s="67"/>
      <c r="AA222" s="55"/>
      <c r="AB222" s="58"/>
      <c r="AC222" s="68">
        <v>74.8</v>
      </c>
      <c r="AD222" s="69">
        <v>67.1</v>
      </c>
      <c r="AE222" s="22">
        <f t="shared" si="94"/>
        <v>127.26200414884092</v>
      </c>
      <c r="AF222" s="12">
        <f t="shared" si="95"/>
        <v>37.262004148840916</v>
      </c>
      <c r="AG222" s="12">
        <f t="shared" si="96"/>
        <v>57.98968931643552</v>
      </c>
      <c r="AH222" s="48"/>
      <c r="AI222" s="27"/>
    </row>
    <row r="223" spans="1:35" s="54" customFormat="1" ht="12.75" customHeight="1">
      <c r="A223" s="89">
        <f>H223/100+125</f>
        <v>125.24</v>
      </c>
      <c r="B223" s="90" t="s">
        <v>49</v>
      </c>
      <c r="C223" s="80" t="s">
        <v>93</v>
      </c>
      <c r="D223" s="58">
        <v>1</v>
      </c>
      <c r="E223" s="55" t="s">
        <v>50</v>
      </c>
      <c r="F223" s="56">
        <v>21.5</v>
      </c>
      <c r="G223" s="57">
        <v>26.5</v>
      </c>
      <c r="H223" s="1">
        <f t="shared" si="97"/>
        <v>24</v>
      </c>
      <c r="I223" s="59"/>
      <c r="J223" s="55">
        <v>90</v>
      </c>
      <c r="K223" s="60">
        <v>37</v>
      </c>
      <c r="L223" s="60">
        <v>0</v>
      </c>
      <c r="M223" s="60">
        <v>49</v>
      </c>
      <c r="N223" s="60"/>
      <c r="O223" s="61"/>
      <c r="P223" s="38">
        <f t="shared" si="86"/>
        <v>0.6027378705387918</v>
      </c>
      <c r="Q223" s="38">
        <f t="shared" si="87"/>
        <v>0.3948261797210324</v>
      </c>
      <c r="R223" s="38">
        <f t="shared" si="88"/>
        <v>-0.5239520372389654</v>
      </c>
      <c r="S223" s="62">
        <f t="shared" si="89"/>
        <v>33.22698556999112</v>
      </c>
      <c r="T223" s="12">
        <f t="shared" si="90"/>
        <v>-36.023293229575216</v>
      </c>
      <c r="U223" s="22">
        <f t="shared" si="91"/>
        <v>33.22698556999112</v>
      </c>
      <c r="V223" s="12">
        <f t="shared" si="92"/>
        <v>303.22698556999114</v>
      </c>
      <c r="W223" s="23">
        <f t="shared" si="93"/>
        <v>53.976706770424784</v>
      </c>
      <c r="X223" s="65"/>
      <c r="Y223" s="66"/>
      <c r="Z223" s="67"/>
      <c r="AA223" s="55"/>
      <c r="AB223" s="58"/>
      <c r="AC223" s="68">
        <v>74.8</v>
      </c>
      <c r="AD223" s="69">
        <v>67.1</v>
      </c>
      <c r="AE223" s="22">
        <f t="shared" si="94"/>
        <v>318.42698556999113</v>
      </c>
      <c r="AF223" s="12">
        <f t="shared" si="95"/>
        <v>228.42698556999113</v>
      </c>
      <c r="AG223" s="12">
        <f t="shared" si="96"/>
        <v>53.976706770424784</v>
      </c>
      <c r="AH223" s="48"/>
      <c r="AI223" s="27"/>
    </row>
    <row r="224" spans="1:35" s="54" customFormat="1" ht="12.75" customHeight="1">
      <c r="A224" s="89">
        <f>H224/100+126.244</f>
        <v>127.894</v>
      </c>
      <c r="B224" s="90" t="s">
        <v>49</v>
      </c>
      <c r="C224" s="1" t="s">
        <v>93</v>
      </c>
      <c r="D224" s="58">
        <v>2</v>
      </c>
      <c r="E224" s="55" t="s">
        <v>50</v>
      </c>
      <c r="F224" s="56">
        <v>131</v>
      </c>
      <c r="G224" s="57">
        <v>199</v>
      </c>
      <c r="H224" s="1">
        <f t="shared" si="97"/>
        <v>165</v>
      </c>
      <c r="I224" s="59"/>
      <c r="J224" s="55">
        <v>270</v>
      </c>
      <c r="K224" s="60">
        <v>49</v>
      </c>
      <c r="L224" s="60">
        <v>180</v>
      </c>
      <c r="M224" s="60">
        <v>52</v>
      </c>
      <c r="N224" s="60"/>
      <c r="O224" s="61"/>
      <c r="P224" s="38">
        <f t="shared" si="86"/>
        <v>-0.5169815698453041</v>
      </c>
      <c r="Q224" s="38">
        <f t="shared" si="87"/>
        <v>-0.46464561360235995</v>
      </c>
      <c r="R224" s="38">
        <f t="shared" si="88"/>
        <v>-0.40391026968901456</v>
      </c>
      <c r="S224" s="62">
        <f t="shared" si="89"/>
        <v>221.94813565596598</v>
      </c>
      <c r="T224" s="12">
        <f t="shared" si="90"/>
        <v>-30.160072650740513</v>
      </c>
      <c r="U224" s="22">
        <f t="shared" si="91"/>
        <v>221.94813565596598</v>
      </c>
      <c r="V224" s="12">
        <f t="shared" si="92"/>
        <v>131.94813565596598</v>
      </c>
      <c r="W224" s="23">
        <f t="shared" si="93"/>
        <v>59.83992734925948</v>
      </c>
      <c r="X224" s="65"/>
      <c r="Y224" s="66"/>
      <c r="Z224" s="67"/>
      <c r="AA224" s="55"/>
      <c r="AB224" s="58"/>
      <c r="AC224" s="68">
        <v>74.8</v>
      </c>
      <c r="AD224" s="69">
        <v>67.1</v>
      </c>
      <c r="AE224" s="22">
        <f t="shared" si="94"/>
        <v>147.14813565596597</v>
      </c>
      <c r="AF224" s="12">
        <f t="shared" si="95"/>
        <v>57.14813565596597</v>
      </c>
      <c r="AG224" s="12">
        <f t="shared" si="96"/>
        <v>59.83992734925948</v>
      </c>
      <c r="AH224" s="48"/>
      <c r="AI224" s="27"/>
    </row>
    <row r="225" spans="1:35" s="54" customFormat="1" ht="12.75" customHeight="1">
      <c r="A225" s="89">
        <f>H225/100+126.244</f>
        <v>127.9865</v>
      </c>
      <c r="B225" s="90" t="s">
        <v>49</v>
      </c>
      <c r="C225" s="1" t="s">
        <v>93</v>
      </c>
      <c r="D225" s="58">
        <v>2</v>
      </c>
      <c r="E225" s="55" t="s">
        <v>50</v>
      </c>
      <c r="F225" s="56">
        <v>139.5</v>
      </c>
      <c r="G225" s="57">
        <v>209</v>
      </c>
      <c r="H225" s="1">
        <f t="shared" si="97"/>
        <v>174.25</v>
      </c>
      <c r="I225" s="59"/>
      <c r="J225" s="55">
        <v>90</v>
      </c>
      <c r="K225" s="60">
        <v>45</v>
      </c>
      <c r="L225" s="60">
        <v>0</v>
      </c>
      <c r="M225" s="60">
        <v>46</v>
      </c>
      <c r="N225" s="60"/>
      <c r="O225" s="61"/>
      <c r="P225" s="38">
        <f aca="true" t="shared" si="98" ref="P225:P256">COS(K225*PI()/180)*SIN(J225*PI()/180)*(SIN((M225)*PI()/180))-(COS((M225)*PI()/180)*SIN(L225*PI()/180))*(SIN(K225*PI()/180))</f>
        <v>0.5086500507968373</v>
      </c>
      <c r="Q225" s="38">
        <f aca="true" t="shared" si="99" ref="Q225:Q256">(SIN(K225*PI()/180))*(COS((M225)*PI()/180)*COS(L225*PI()/180))-(SIN((M225)*PI()/180))*(COS(K225*PI()/180)*COS(J225*PI()/180))</f>
        <v>0.4911976443595538</v>
      </c>
      <c r="R225" s="38">
        <f aca="true" t="shared" si="100" ref="R225:R256">(COS(K225*PI()/180)*COS(J225*PI()/180))*(COS((M225)*PI()/180)*SIN(L225*PI()/180))-(COS(K225*PI()/180)*SIN(J225*PI()/180))*(COS((M225)*PI()/180)*COS(L225*PI()/180))</f>
        <v>-0.49119764435955393</v>
      </c>
      <c r="S225" s="62">
        <f aca="true" t="shared" si="101" ref="S225:S256">IF(P225=0,IF(Q225&gt;=0,90,270),IF(P225&gt;0,IF(Q225&gt;=0,ATAN(Q225/P225)*180/PI(),ATAN(Q225/P225)*180/PI()+360),ATAN(Q225/P225)*180/PI()+180))</f>
        <v>43.99999999999999</v>
      </c>
      <c r="T225" s="12">
        <f aca="true" t="shared" si="102" ref="T225:T256">ASIN(R225/SQRT(P225^2+Q225^2+R225^2))*180/PI()</f>
        <v>-34.78609974471375</v>
      </c>
      <c r="U225" s="22">
        <f aca="true" t="shared" si="103" ref="U225:U256">IF(R225&lt;0,S225,IF(S225+180&gt;=360,S225-180,S225+180))</f>
        <v>43.99999999999999</v>
      </c>
      <c r="V225" s="12">
        <f aca="true" t="shared" si="104" ref="V225:V256">IF(U225-90&lt;0,U225+270,U225-90)</f>
        <v>314</v>
      </c>
      <c r="W225" s="23">
        <f aca="true" t="shared" si="105" ref="W225:W256">IF(R225&lt;0,90+T225,90-T225)</f>
        <v>55.21390025528625</v>
      </c>
      <c r="X225" s="65"/>
      <c r="Y225" s="66"/>
      <c r="Z225" s="67"/>
      <c r="AA225" s="55"/>
      <c r="AB225" s="58"/>
      <c r="AC225" s="68">
        <v>74.8</v>
      </c>
      <c r="AD225" s="69">
        <v>67.1</v>
      </c>
      <c r="AE225" s="22">
        <f aca="true" t="shared" si="106" ref="AE225:AE256">IF(AD225&gt;=0,IF(U225&gt;=AC225,U225-AC225,U225-AC225+360),IF((U225-AC225-180)&lt;0,IF(U225-AC225+180&lt;0,U225-AC225+540,U225-AC225+180),U225-AC225-180))</f>
        <v>329.2</v>
      </c>
      <c r="AF225" s="12">
        <f aca="true" t="shared" si="107" ref="AF225:AF256">IF(AE225-90&lt;0,AE225+270,AE225-90)</f>
        <v>239.2</v>
      </c>
      <c r="AG225" s="12">
        <f aca="true" t="shared" si="108" ref="AG225:AG256">W225</f>
        <v>55.21390025528625</v>
      </c>
      <c r="AH225" s="48"/>
      <c r="AI225" s="27"/>
    </row>
    <row r="226" spans="1:35" s="54" customFormat="1" ht="12.75" customHeight="1">
      <c r="A226" s="89">
        <f>H226/100+127.452</f>
        <v>128.052</v>
      </c>
      <c r="B226" s="90" t="s">
        <v>49</v>
      </c>
      <c r="C226" s="1" t="s">
        <v>93</v>
      </c>
      <c r="D226" s="58">
        <v>3</v>
      </c>
      <c r="E226" s="55" t="s">
        <v>50</v>
      </c>
      <c r="F226" s="56">
        <v>57.5</v>
      </c>
      <c r="G226" s="57">
        <v>62.5</v>
      </c>
      <c r="H226" s="1">
        <f t="shared" si="97"/>
        <v>60</v>
      </c>
      <c r="I226" s="59"/>
      <c r="J226" s="55">
        <v>270</v>
      </c>
      <c r="K226" s="60">
        <v>36</v>
      </c>
      <c r="L226" s="60">
        <v>180</v>
      </c>
      <c r="M226" s="60">
        <v>40</v>
      </c>
      <c r="N226" s="60"/>
      <c r="O226" s="61"/>
      <c r="P226" s="38">
        <f t="shared" si="98"/>
        <v>-0.5200261000100609</v>
      </c>
      <c r="Q226" s="38">
        <f t="shared" si="99"/>
        <v>-0.4502696262659355</v>
      </c>
      <c r="R226" s="38">
        <f t="shared" si="100"/>
        <v>-0.619742972929746</v>
      </c>
      <c r="S226" s="62">
        <f t="shared" si="101"/>
        <v>220.8879679381267</v>
      </c>
      <c r="T226" s="12">
        <f t="shared" si="102"/>
        <v>-42.017426501731165</v>
      </c>
      <c r="U226" s="22">
        <f t="shared" si="103"/>
        <v>220.8879679381267</v>
      </c>
      <c r="V226" s="12">
        <f t="shared" si="104"/>
        <v>130.8879679381267</v>
      </c>
      <c r="W226" s="23">
        <f t="shared" si="105"/>
        <v>47.982573498268835</v>
      </c>
      <c r="X226" s="65"/>
      <c r="Y226" s="66"/>
      <c r="Z226" s="67"/>
      <c r="AA226" s="55"/>
      <c r="AB226" s="58"/>
      <c r="AC226" s="68">
        <v>74.8</v>
      </c>
      <c r="AD226" s="69">
        <v>67.1</v>
      </c>
      <c r="AE226" s="22">
        <f t="shared" si="106"/>
        <v>146.08796793812672</v>
      </c>
      <c r="AF226" s="12">
        <f t="shared" si="107"/>
        <v>56.087967938126724</v>
      </c>
      <c r="AG226" s="12">
        <f t="shared" si="108"/>
        <v>47.982573498268835</v>
      </c>
      <c r="AH226" s="48"/>
      <c r="AI226" s="27"/>
    </row>
    <row r="227" spans="1:39" s="54" customFormat="1" ht="12.75" customHeight="1">
      <c r="A227" s="89">
        <f>H227/100+127.452</f>
        <v>128.606</v>
      </c>
      <c r="B227" s="90" t="s">
        <v>49</v>
      </c>
      <c r="C227" s="1" t="s">
        <v>93</v>
      </c>
      <c r="D227" s="58">
        <v>3</v>
      </c>
      <c r="E227" s="55" t="s">
        <v>44</v>
      </c>
      <c r="F227" s="56">
        <v>115.3</v>
      </c>
      <c r="G227" s="57">
        <v>115.5</v>
      </c>
      <c r="H227" s="1">
        <f t="shared" si="97"/>
        <v>115.4</v>
      </c>
      <c r="I227" s="59"/>
      <c r="J227" s="55">
        <v>90</v>
      </c>
      <c r="K227" s="60">
        <v>2</v>
      </c>
      <c r="L227" s="60">
        <v>0</v>
      </c>
      <c r="M227" s="60">
        <v>16</v>
      </c>
      <c r="N227" s="60"/>
      <c r="O227" s="61"/>
      <c r="P227" s="38">
        <f t="shared" si="98"/>
        <v>0.2754694449873076</v>
      </c>
      <c r="Q227" s="38">
        <f t="shared" si="99"/>
        <v>0.03354754938763983</v>
      </c>
      <c r="R227" s="38">
        <f t="shared" si="100"/>
        <v>-0.9606761212855751</v>
      </c>
      <c r="S227" s="62">
        <f t="shared" si="101"/>
        <v>6.943471310030185</v>
      </c>
      <c r="T227" s="12">
        <f t="shared" si="102"/>
        <v>-73.88790108085979</v>
      </c>
      <c r="U227" s="22">
        <f t="shared" si="103"/>
        <v>6.943471310030185</v>
      </c>
      <c r="V227" s="12">
        <f t="shared" si="104"/>
        <v>276.9434713100302</v>
      </c>
      <c r="W227" s="23">
        <f t="shared" si="105"/>
        <v>16.11209891914021</v>
      </c>
      <c r="X227" s="65"/>
      <c r="Y227" s="66"/>
      <c r="Z227" s="67"/>
      <c r="AA227" s="55"/>
      <c r="AB227" s="58"/>
      <c r="AC227" s="68">
        <v>74.8</v>
      </c>
      <c r="AD227" s="69">
        <v>67.1</v>
      </c>
      <c r="AE227" s="22">
        <f t="shared" si="106"/>
        <v>292.1434713100302</v>
      </c>
      <c r="AF227" s="12">
        <f t="shared" si="107"/>
        <v>202.14347131003018</v>
      </c>
      <c r="AG227" s="12">
        <f t="shared" si="108"/>
        <v>16.11209891914021</v>
      </c>
      <c r="AH227" s="48"/>
      <c r="AI227" s="27"/>
      <c r="AM227"/>
    </row>
    <row r="228" spans="1:39" s="54" customFormat="1" ht="12.75" customHeight="1">
      <c r="A228" s="89">
        <f>H228/100+127.452</f>
        <v>128.7545</v>
      </c>
      <c r="B228" s="90" t="s">
        <v>49</v>
      </c>
      <c r="C228" s="1" t="s">
        <v>93</v>
      </c>
      <c r="D228" s="58">
        <v>3</v>
      </c>
      <c r="E228" s="55" t="s">
        <v>44</v>
      </c>
      <c r="F228" s="56">
        <v>130</v>
      </c>
      <c r="G228" s="57">
        <v>130.5</v>
      </c>
      <c r="H228" s="1">
        <f t="shared" si="97"/>
        <v>130.25</v>
      </c>
      <c r="I228" s="59"/>
      <c r="J228" s="55">
        <v>270</v>
      </c>
      <c r="K228" s="60">
        <v>5</v>
      </c>
      <c r="L228" s="60">
        <v>0</v>
      </c>
      <c r="M228" s="60">
        <v>14</v>
      </c>
      <c r="N228" s="60"/>
      <c r="O228" s="61"/>
      <c r="P228" s="38">
        <f t="shared" si="98"/>
        <v>-0.24100130974869377</v>
      </c>
      <c r="Q228" s="38">
        <f t="shared" si="99"/>
        <v>0.08456684470846293</v>
      </c>
      <c r="R228" s="38">
        <f t="shared" si="100"/>
        <v>0.9666034580972273</v>
      </c>
      <c r="S228" s="62">
        <f t="shared" si="101"/>
        <v>160.66413695751302</v>
      </c>
      <c r="T228" s="12">
        <f t="shared" si="102"/>
        <v>75.19887938684346</v>
      </c>
      <c r="U228" s="22">
        <f t="shared" si="103"/>
        <v>340.66413695751305</v>
      </c>
      <c r="V228" s="12">
        <f t="shared" si="104"/>
        <v>250.66413695751305</v>
      </c>
      <c r="W228" s="23">
        <f t="shared" si="105"/>
        <v>14.801120613156542</v>
      </c>
      <c r="X228" s="65"/>
      <c r="Y228" s="66"/>
      <c r="Z228" s="67"/>
      <c r="AA228" s="55"/>
      <c r="AB228" s="58"/>
      <c r="AC228" s="68">
        <v>74.8</v>
      </c>
      <c r="AD228" s="69">
        <v>67.1</v>
      </c>
      <c r="AE228" s="22">
        <f t="shared" si="106"/>
        <v>265.86413695751304</v>
      </c>
      <c r="AF228" s="12">
        <f t="shared" si="107"/>
        <v>175.86413695751304</v>
      </c>
      <c r="AG228" s="12">
        <f t="shared" si="108"/>
        <v>14.801120613156542</v>
      </c>
      <c r="AH228" s="48"/>
      <c r="AI228" s="27"/>
      <c r="AM228"/>
    </row>
    <row r="229" spans="1:39" s="54" customFormat="1" ht="12.75" customHeight="1">
      <c r="A229" s="89">
        <f>H229/100+128.68</f>
        <v>128.82850000000002</v>
      </c>
      <c r="B229" s="90" t="s">
        <v>49</v>
      </c>
      <c r="C229" s="1" t="s">
        <v>93</v>
      </c>
      <c r="D229" s="58">
        <v>4</v>
      </c>
      <c r="E229" s="55" t="s">
        <v>44</v>
      </c>
      <c r="F229" s="56">
        <v>14.7</v>
      </c>
      <c r="G229" s="57">
        <v>15</v>
      </c>
      <c r="H229" s="1">
        <f t="shared" si="97"/>
        <v>14.85</v>
      </c>
      <c r="I229" s="59"/>
      <c r="J229" s="55">
        <v>90</v>
      </c>
      <c r="K229" s="60">
        <v>2</v>
      </c>
      <c r="L229" s="60">
        <v>0</v>
      </c>
      <c r="M229" s="60">
        <v>9</v>
      </c>
      <c r="N229" s="60"/>
      <c r="O229" s="61"/>
      <c r="P229" s="38">
        <f t="shared" si="98"/>
        <v>0.15633916939084616</v>
      </c>
      <c r="Q229" s="38">
        <f t="shared" si="99"/>
        <v>0.03446982598569866</v>
      </c>
      <c r="R229" s="38">
        <f t="shared" si="100"/>
        <v>-0.987086667544493</v>
      </c>
      <c r="S229" s="62">
        <f t="shared" si="101"/>
        <v>12.433706200551148</v>
      </c>
      <c r="T229" s="12">
        <f t="shared" si="102"/>
        <v>-80.78750626027328</v>
      </c>
      <c r="U229" s="22">
        <f t="shared" si="103"/>
        <v>12.433706200551148</v>
      </c>
      <c r="V229" s="12">
        <f t="shared" si="104"/>
        <v>282.43370620055117</v>
      </c>
      <c r="W229" s="23">
        <f t="shared" si="105"/>
        <v>9.212493739726725</v>
      </c>
      <c r="X229" s="65"/>
      <c r="Y229" s="66"/>
      <c r="Z229" s="67"/>
      <c r="AA229" s="55"/>
      <c r="AB229" s="58"/>
      <c r="AC229" s="68">
        <v>74.8</v>
      </c>
      <c r="AD229" s="69">
        <v>67.1</v>
      </c>
      <c r="AE229" s="22">
        <f t="shared" si="106"/>
        <v>297.63370620055116</v>
      </c>
      <c r="AF229" s="12">
        <f t="shared" si="107"/>
        <v>207.63370620055116</v>
      </c>
      <c r="AG229" s="12">
        <f t="shared" si="108"/>
        <v>9.212493739726725</v>
      </c>
      <c r="AH229" s="48"/>
      <c r="AI229" s="27"/>
      <c r="AM229"/>
    </row>
    <row r="230" spans="1:35" s="54" customFormat="1" ht="12.75" customHeight="1">
      <c r="A230" s="89">
        <f>H230/100+129.929</f>
        <v>130.0475</v>
      </c>
      <c r="B230" s="90" t="s">
        <v>49</v>
      </c>
      <c r="C230" s="1" t="s">
        <v>93</v>
      </c>
      <c r="D230" s="58">
        <v>6</v>
      </c>
      <c r="E230" s="55" t="s">
        <v>50</v>
      </c>
      <c r="F230" s="56">
        <v>10.7</v>
      </c>
      <c r="G230" s="57">
        <v>13</v>
      </c>
      <c r="H230" s="1">
        <f t="shared" si="97"/>
        <v>11.85</v>
      </c>
      <c r="I230" s="59"/>
      <c r="J230" s="55">
        <v>270</v>
      </c>
      <c r="K230" s="60">
        <v>12</v>
      </c>
      <c r="L230" s="60">
        <v>180</v>
      </c>
      <c r="M230" s="60">
        <v>49</v>
      </c>
      <c r="N230" s="60"/>
      <c r="O230" s="61"/>
      <c r="P230" s="38">
        <f t="shared" si="98"/>
        <v>-0.7382173651457221</v>
      </c>
      <c r="Q230" s="38">
        <f t="shared" si="99"/>
        <v>-0.1364023419936736</v>
      </c>
      <c r="R230" s="38">
        <f t="shared" si="100"/>
        <v>-0.6417225651468149</v>
      </c>
      <c r="S230" s="62">
        <f t="shared" si="101"/>
        <v>190.4686197399367</v>
      </c>
      <c r="T230" s="12">
        <f t="shared" si="102"/>
        <v>-40.52438760724486</v>
      </c>
      <c r="U230" s="22">
        <f t="shared" si="103"/>
        <v>190.4686197399367</v>
      </c>
      <c r="V230" s="12">
        <f t="shared" si="104"/>
        <v>100.46861973993671</v>
      </c>
      <c r="W230" s="23">
        <f t="shared" si="105"/>
        <v>49.47561239275514</v>
      </c>
      <c r="X230" s="65"/>
      <c r="Y230" s="66"/>
      <c r="Z230" s="67"/>
      <c r="AA230" s="55"/>
      <c r="AB230" s="58"/>
      <c r="AC230" s="68">
        <v>74.8</v>
      </c>
      <c r="AD230" s="69">
        <v>67.1</v>
      </c>
      <c r="AE230" s="22">
        <f t="shared" si="106"/>
        <v>115.66861973993672</v>
      </c>
      <c r="AF230" s="12">
        <f t="shared" si="107"/>
        <v>25.668619739936716</v>
      </c>
      <c r="AG230" s="12">
        <f t="shared" si="108"/>
        <v>49.47561239275514</v>
      </c>
      <c r="AH230" s="48"/>
      <c r="AI230" s="27"/>
    </row>
    <row r="231" spans="1:35" s="54" customFormat="1" ht="12.75" customHeight="1">
      <c r="A231" s="89">
        <f>H231/100+129.929</f>
        <v>130.079</v>
      </c>
      <c r="B231" s="90" t="s">
        <v>49</v>
      </c>
      <c r="C231" s="1" t="s">
        <v>93</v>
      </c>
      <c r="D231" s="58">
        <v>6</v>
      </c>
      <c r="E231" s="55" t="s">
        <v>50</v>
      </c>
      <c r="F231" s="56">
        <v>12</v>
      </c>
      <c r="G231" s="57">
        <v>18</v>
      </c>
      <c r="H231" s="1">
        <f t="shared" si="97"/>
        <v>15</v>
      </c>
      <c r="I231" s="59"/>
      <c r="J231" s="55">
        <v>90</v>
      </c>
      <c r="K231" s="60">
        <v>35</v>
      </c>
      <c r="L231" s="60">
        <v>0</v>
      </c>
      <c r="M231" s="60">
        <v>48</v>
      </c>
      <c r="N231" s="60"/>
      <c r="O231" s="61"/>
      <c r="P231" s="38">
        <f t="shared" si="98"/>
        <v>0.6087486029925935</v>
      </c>
      <c r="Q231" s="38">
        <f t="shared" si="99"/>
        <v>0.38379754864872845</v>
      </c>
      <c r="R231" s="38">
        <f t="shared" si="100"/>
        <v>-0.5481197040951914</v>
      </c>
      <c r="S231" s="62">
        <f t="shared" si="101"/>
        <v>32.230189005184286</v>
      </c>
      <c r="T231" s="12">
        <f t="shared" si="102"/>
        <v>-37.29517701996098</v>
      </c>
      <c r="U231" s="22">
        <f t="shared" si="103"/>
        <v>32.230189005184286</v>
      </c>
      <c r="V231" s="12">
        <f t="shared" si="104"/>
        <v>302.2301890051843</v>
      </c>
      <c r="W231" s="23">
        <f t="shared" si="105"/>
        <v>52.70482298003902</v>
      </c>
      <c r="X231" s="65"/>
      <c r="Y231" s="66"/>
      <c r="Z231" s="67"/>
      <c r="AA231" s="55"/>
      <c r="AB231" s="58"/>
      <c r="AC231" s="68">
        <v>74.8</v>
      </c>
      <c r="AD231" s="69">
        <v>67.1</v>
      </c>
      <c r="AE231" s="22">
        <f t="shared" si="106"/>
        <v>317.4301890051843</v>
      </c>
      <c r="AF231" s="12">
        <f t="shared" si="107"/>
        <v>227.43018900518427</v>
      </c>
      <c r="AG231" s="12">
        <f t="shared" si="108"/>
        <v>52.70482298003902</v>
      </c>
      <c r="AH231" s="48"/>
      <c r="AI231" s="27"/>
    </row>
    <row r="232" spans="1:39" s="54" customFormat="1" ht="12.75" customHeight="1">
      <c r="A232" s="89">
        <f>H232/100+129.929</f>
        <v>130.124</v>
      </c>
      <c r="B232" s="90" t="s">
        <v>49</v>
      </c>
      <c r="C232" s="1" t="s">
        <v>93</v>
      </c>
      <c r="D232" s="58">
        <v>6</v>
      </c>
      <c r="E232" s="55" t="s">
        <v>44</v>
      </c>
      <c r="F232" s="56">
        <v>19</v>
      </c>
      <c r="G232" s="57">
        <v>20</v>
      </c>
      <c r="H232" s="1">
        <f t="shared" si="97"/>
        <v>19.5</v>
      </c>
      <c r="I232" s="59"/>
      <c r="J232" s="55">
        <v>90</v>
      </c>
      <c r="K232" s="60">
        <v>5</v>
      </c>
      <c r="L232" s="60">
        <v>0</v>
      </c>
      <c r="M232" s="60">
        <v>15</v>
      </c>
      <c r="N232" s="60"/>
      <c r="O232" s="61"/>
      <c r="P232" s="38">
        <f t="shared" si="98"/>
        <v>0.25783416049629954</v>
      </c>
      <c r="Q232" s="38">
        <f t="shared" si="99"/>
        <v>0.08418598282936918</v>
      </c>
      <c r="R232" s="38">
        <f t="shared" si="100"/>
        <v>-0.9622501868990583</v>
      </c>
      <c r="S232" s="62">
        <f t="shared" si="101"/>
        <v>18.082488834034972</v>
      </c>
      <c r="T232" s="12">
        <f t="shared" si="102"/>
        <v>-74.25841616157518</v>
      </c>
      <c r="U232" s="22">
        <f t="shared" si="103"/>
        <v>18.082488834034972</v>
      </c>
      <c r="V232" s="12">
        <f t="shared" si="104"/>
        <v>288.08248883403496</v>
      </c>
      <c r="W232" s="23">
        <f t="shared" si="105"/>
        <v>15.741583838424816</v>
      </c>
      <c r="X232" s="65"/>
      <c r="Y232" s="66"/>
      <c r="Z232" s="67"/>
      <c r="AA232" s="55"/>
      <c r="AB232" s="58"/>
      <c r="AC232" s="68">
        <v>74.8</v>
      </c>
      <c r="AD232" s="69">
        <v>67.1</v>
      </c>
      <c r="AE232" s="22">
        <f t="shared" si="106"/>
        <v>303.282488834035</v>
      </c>
      <c r="AF232" s="12">
        <f t="shared" si="107"/>
        <v>213.282488834035</v>
      </c>
      <c r="AG232" s="12">
        <f t="shared" si="108"/>
        <v>15.741583838424816</v>
      </c>
      <c r="AH232" s="48"/>
      <c r="AI232" s="27"/>
      <c r="AM232"/>
    </row>
    <row r="233" spans="1:39" s="54" customFormat="1" ht="12.75" customHeight="1">
      <c r="A233" s="89">
        <f>H233/100+133.5</f>
        <v>134.2975</v>
      </c>
      <c r="B233" s="90" t="s">
        <v>49</v>
      </c>
      <c r="C233" s="1" t="s">
        <v>94</v>
      </c>
      <c r="D233" s="58">
        <v>1</v>
      </c>
      <c r="E233" s="55" t="s">
        <v>44</v>
      </c>
      <c r="F233" s="56">
        <v>79</v>
      </c>
      <c r="G233" s="57">
        <v>80.5</v>
      </c>
      <c r="H233" s="1">
        <f t="shared" si="97"/>
        <v>79.75</v>
      </c>
      <c r="I233" s="59"/>
      <c r="J233" s="55">
        <v>90</v>
      </c>
      <c r="K233" s="60">
        <v>15</v>
      </c>
      <c r="L233" s="60">
        <v>180</v>
      </c>
      <c r="M233" s="60">
        <v>24</v>
      </c>
      <c r="N233" s="60"/>
      <c r="O233" s="61"/>
      <c r="P233" s="38">
        <f t="shared" si="98"/>
        <v>0.39287742804503406</v>
      </c>
      <c r="Q233" s="38">
        <f t="shared" si="99"/>
        <v>-0.2364429630048033</v>
      </c>
      <c r="R233" s="38">
        <f t="shared" si="100"/>
        <v>0.8824171510260543</v>
      </c>
      <c r="S233" s="62">
        <f t="shared" si="101"/>
        <v>328.9594724964302</v>
      </c>
      <c r="T233" s="12">
        <f t="shared" si="102"/>
        <v>62.5418233691934</v>
      </c>
      <c r="U233" s="22">
        <f t="shared" si="103"/>
        <v>148.95947249643018</v>
      </c>
      <c r="V233" s="12">
        <f t="shared" si="104"/>
        <v>58.95947249643018</v>
      </c>
      <c r="W233" s="23">
        <f t="shared" si="105"/>
        <v>27.458176630806598</v>
      </c>
      <c r="X233" s="65"/>
      <c r="Y233" s="66"/>
      <c r="Z233" s="67"/>
      <c r="AA233" s="55"/>
      <c r="AB233" s="58"/>
      <c r="AC233" s="68">
        <v>191.8</v>
      </c>
      <c r="AD233" s="69">
        <v>79.4</v>
      </c>
      <c r="AE233" s="22">
        <f t="shared" si="106"/>
        <v>317.15947249643017</v>
      </c>
      <c r="AF233" s="12">
        <f t="shared" si="107"/>
        <v>227.15947249643017</v>
      </c>
      <c r="AG233" s="12">
        <f t="shared" si="108"/>
        <v>27.458176630806598</v>
      </c>
      <c r="AH233" s="48"/>
      <c r="AI233" s="27"/>
      <c r="AM233"/>
    </row>
    <row r="234" spans="1:35" s="54" customFormat="1" ht="12.75" customHeight="1">
      <c r="A234" s="89">
        <f>H234/100+133.5</f>
        <v>134.515</v>
      </c>
      <c r="B234" s="90" t="s">
        <v>49</v>
      </c>
      <c r="C234" s="1" t="s">
        <v>94</v>
      </c>
      <c r="D234" s="58">
        <v>1</v>
      </c>
      <c r="E234" s="55" t="s">
        <v>50</v>
      </c>
      <c r="F234" s="56">
        <v>98</v>
      </c>
      <c r="G234" s="57">
        <v>105</v>
      </c>
      <c r="H234" s="1">
        <f t="shared" si="97"/>
        <v>101.5</v>
      </c>
      <c r="I234" s="59"/>
      <c r="J234" s="55">
        <v>270</v>
      </c>
      <c r="K234" s="60">
        <v>52</v>
      </c>
      <c r="L234" s="60">
        <v>180</v>
      </c>
      <c r="M234" s="60">
        <v>50</v>
      </c>
      <c r="N234" s="60"/>
      <c r="O234" s="61"/>
      <c r="P234" s="38">
        <f t="shared" si="98"/>
        <v>-0.4716240520156524</v>
      </c>
      <c r="Q234" s="38">
        <f t="shared" si="99"/>
        <v>-0.5065235487181533</v>
      </c>
      <c r="R234" s="38">
        <f t="shared" si="100"/>
        <v>-0.39573956810066824</v>
      </c>
      <c r="S234" s="62">
        <f t="shared" si="101"/>
        <v>227.043399194179</v>
      </c>
      <c r="T234" s="12">
        <f t="shared" si="102"/>
        <v>-29.760903067071297</v>
      </c>
      <c r="U234" s="22">
        <f t="shared" si="103"/>
        <v>227.043399194179</v>
      </c>
      <c r="V234" s="12">
        <f t="shared" si="104"/>
        <v>137.043399194179</v>
      </c>
      <c r="W234" s="23">
        <f t="shared" si="105"/>
        <v>60.2390969329287</v>
      </c>
      <c r="X234" s="65"/>
      <c r="Y234" s="66"/>
      <c r="Z234" s="67"/>
      <c r="AA234" s="55"/>
      <c r="AB234" s="58"/>
      <c r="AC234" s="68">
        <v>191.8</v>
      </c>
      <c r="AD234" s="69">
        <v>79.4</v>
      </c>
      <c r="AE234" s="22">
        <f t="shared" si="106"/>
        <v>35.24339919417898</v>
      </c>
      <c r="AF234" s="12">
        <f t="shared" si="107"/>
        <v>305.243399194179</v>
      </c>
      <c r="AG234" s="12">
        <f t="shared" si="108"/>
        <v>60.2390969329287</v>
      </c>
      <c r="AH234" s="48"/>
      <c r="AI234" s="27"/>
    </row>
    <row r="235" spans="1:35" s="54" customFormat="1" ht="12.75" customHeight="1">
      <c r="A235" s="89">
        <f>H235/100+134.833</f>
        <v>135.158</v>
      </c>
      <c r="B235" s="90" t="s">
        <v>49</v>
      </c>
      <c r="C235" s="1" t="s">
        <v>94</v>
      </c>
      <c r="D235" s="58">
        <v>2</v>
      </c>
      <c r="E235" s="55" t="s">
        <v>50</v>
      </c>
      <c r="F235" s="56">
        <v>26</v>
      </c>
      <c r="G235" s="57">
        <v>39</v>
      </c>
      <c r="H235" s="1">
        <f t="shared" si="97"/>
        <v>32.5</v>
      </c>
      <c r="I235" s="59"/>
      <c r="J235" s="55">
        <v>90</v>
      </c>
      <c r="K235" s="60">
        <v>65</v>
      </c>
      <c r="L235" s="60">
        <v>180</v>
      </c>
      <c r="M235" s="60">
        <v>46</v>
      </c>
      <c r="N235" s="60"/>
      <c r="O235" s="61"/>
      <c r="P235" s="38">
        <f t="shared" si="98"/>
        <v>0.30400613602002247</v>
      </c>
      <c r="Q235" s="38">
        <f t="shared" si="99"/>
        <v>-0.6295742904771793</v>
      </c>
      <c r="R235" s="38">
        <f t="shared" si="100"/>
        <v>0.2935753130270083</v>
      </c>
      <c r="S235" s="62">
        <f t="shared" si="101"/>
        <v>295.7747683631337</v>
      </c>
      <c r="T235" s="12">
        <f t="shared" si="102"/>
        <v>22.7782595023907</v>
      </c>
      <c r="U235" s="22">
        <f t="shared" si="103"/>
        <v>115.77476836313372</v>
      </c>
      <c r="V235" s="12">
        <f t="shared" si="104"/>
        <v>25.774768363133717</v>
      </c>
      <c r="W235" s="23">
        <f t="shared" si="105"/>
        <v>67.2217404976093</v>
      </c>
      <c r="X235" s="65"/>
      <c r="Y235" s="66"/>
      <c r="Z235" s="67"/>
      <c r="AA235" s="55"/>
      <c r="AB235" s="58"/>
      <c r="AC235" s="68">
        <v>191.8</v>
      </c>
      <c r="AD235" s="69">
        <v>79.4</v>
      </c>
      <c r="AE235" s="22">
        <f t="shared" si="106"/>
        <v>283.9747683631337</v>
      </c>
      <c r="AF235" s="12">
        <f t="shared" si="107"/>
        <v>193.9747683631337</v>
      </c>
      <c r="AG235" s="12">
        <f t="shared" si="108"/>
        <v>67.2217404976093</v>
      </c>
      <c r="AH235" s="48"/>
      <c r="AI235" s="27"/>
    </row>
    <row r="236" spans="1:35" s="54" customFormat="1" ht="12.75" customHeight="1">
      <c r="A236" s="89">
        <f>H236/100+134.833</f>
        <v>135.163</v>
      </c>
      <c r="B236" s="90" t="s">
        <v>49</v>
      </c>
      <c r="C236" s="1" t="s">
        <v>94</v>
      </c>
      <c r="D236" s="58">
        <v>2</v>
      </c>
      <c r="E236" s="55" t="s">
        <v>50</v>
      </c>
      <c r="F236" s="56">
        <v>29</v>
      </c>
      <c r="G236" s="57">
        <v>37</v>
      </c>
      <c r="H236" s="1">
        <f t="shared" si="97"/>
        <v>33</v>
      </c>
      <c r="I236" s="59"/>
      <c r="J236" s="55">
        <v>270</v>
      </c>
      <c r="K236" s="60">
        <v>55</v>
      </c>
      <c r="L236" s="60">
        <v>180</v>
      </c>
      <c r="M236" s="60">
        <v>62</v>
      </c>
      <c r="N236" s="60"/>
      <c r="O236" s="61"/>
      <c r="P236" s="38">
        <f t="shared" si="98"/>
        <v>-0.5064379337967577</v>
      </c>
      <c r="Q236" s="38">
        <f t="shared" si="99"/>
        <v>-0.3845685903916102</v>
      </c>
      <c r="R236" s="38">
        <f t="shared" si="100"/>
        <v>-0.26927782595088773</v>
      </c>
      <c r="S236" s="62">
        <f t="shared" si="101"/>
        <v>217.21157454996603</v>
      </c>
      <c r="T236" s="12">
        <f t="shared" si="102"/>
        <v>-22.950593832020473</v>
      </c>
      <c r="U236" s="22">
        <f t="shared" si="103"/>
        <v>217.21157454996603</v>
      </c>
      <c r="V236" s="12">
        <f t="shared" si="104"/>
        <v>127.21157454996603</v>
      </c>
      <c r="W236" s="23">
        <f t="shared" si="105"/>
        <v>67.04940616797953</v>
      </c>
      <c r="X236" s="65"/>
      <c r="Y236" s="66"/>
      <c r="Z236" s="67"/>
      <c r="AA236" s="55"/>
      <c r="AB236" s="58"/>
      <c r="AC236" s="68">
        <v>191.8</v>
      </c>
      <c r="AD236" s="69">
        <v>79.4</v>
      </c>
      <c r="AE236" s="22">
        <f t="shared" si="106"/>
        <v>25.41157454996602</v>
      </c>
      <c r="AF236" s="12">
        <f t="shared" si="107"/>
        <v>295.411574549966</v>
      </c>
      <c r="AG236" s="12">
        <f t="shared" si="108"/>
        <v>67.04940616797953</v>
      </c>
      <c r="AH236" s="48"/>
      <c r="AI236" s="27"/>
    </row>
    <row r="237" spans="1:39" s="54" customFormat="1" ht="12.75" customHeight="1">
      <c r="A237" s="89">
        <f>H237/100+134.833</f>
        <v>135.3855</v>
      </c>
      <c r="B237" s="90" t="s">
        <v>49</v>
      </c>
      <c r="C237" s="1" t="s">
        <v>94</v>
      </c>
      <c r="D237" s="58">
        <v>2</v>
      </c>
      <c r="E237" s="55" t="s">
        <v>44</v>
      </c>
      <c r="F237" s="56">
        <v>54.5</v>
      </c>
      <c r="G237" s="57">
        <v>56</v>
      </c>
      <c r="H237" s="1">
        <f t="shared" si="97"/>
        <v>55.25</v>
      </c>
      <c r="I237" s="59"/>
      <c r="J237" s="55">
        <v>90</v>
      </c>
      <c r="K237" s="60">
        <v>16</v>
      </c>
      <c r="L237" s="60">
        <v>180</v>
      </c>
      <c r="M237" s="60">
        <v>7</v>
      </c>
      <c r="N237" s="60"/>
      <c r="O237" s="61"/>
      <c r="P237" s="38">
        <f t="shared" si="98"/>
        <v>0.11714833172452141</v>
      </c>
      <c r="Q237" s="38">
        <f t="shared" si="99"/>
        <v>-0.2735827967647523</v>
      </c>
      <c r="R237" s="38">
        <f t="shared" si="100"/>
        <v>0.954096597023789</v>
      </c>
      <c r="S237" s="62">
        <f t="shared" si="101"/>
        <v>293.18064060413303</v>
      </c>
      <c r="T237" s="12">
        <f t="shared" si="102"/>
        <v>72.67584706485778</v>
      </c>
      <c r="U237" s="22">
        <f t="shared" si="103"/>
        <v>113.18064060413303</v>
      </c>
      <c r="V237" s="12">
        <f t="shared" si="104"/>
        <v>23.180640604133032</v>
      </c>
      <c r="W237" s="23">
        <f t="shared" si="105"/>
        <v>17.324152935142223</v>
      </c>
      <c r="X237" s="65"/>
      <c r="Y237" s="66"/>
      <c r="Z237" s="67"/>
      <c r="AA237" s="55"/>
      <c r="AB237" s="58"/>
      <c r="AC237" s="68">
        <v>191.8</v>
      </c>
      <c r="AD237" s="69">
        <v>79.4</v>
      </c>
      <c r="AE237" s="22">
        <f t="shared" si="106"/>
        <v>281.380640604133</v>
      </c>
      <c r="AF237" s="12">
        <f t="shared" si="107"/>
        <v>191.38064060413302</v>
      </c>
      <c r="AG237" s="12">
        <f t="shared" si="108"/>
        <v>17.324152935142223</v>
      </c>
      <c r="AH237" s="48"/>
      <c r="AI237" s="27"/>
      <c r="AM237"/>
    </row>
    <row r="238" spans="1:39" s="54" customFormat="1" ht="12.75" customHeight="1">
      <c r="A238" s="89">
        <f>H238/100+139.076</f>
        <v>140.016</v>
      </c>
      <c r="B238" s="90" t="s">
        <v>49</v>
      </c>
      <c r="C238" s="1" t="s">
        <v>94</v>
      </c>
      <c r="D238" s="58">
        <v>6</v>
      </c>
      <c r="E238" s="55" t="s">
        <v>44</v>
      </c>
      <c r="F238" s="56">
        <v>93.5</v>
      </c>
      <c r="G238" s="57">
        <v>94.5</v>
      </c>
      <c r="H238" s="1">
        <f t="shared" si="97"/>
        <v>94</v>
      </c>
      <c r="I238" s="59"/>
      <c r="J238" s="55">
        <v>90</v>
      </c>
      <c r="K238" s="60">
        <v>13</v>
      </c>
      <c r="L238" s="60">
        <v>180</v>
      </c>
      <c r="M238" s="60">
        <v>12</v>
      </c>
      <c r="N238" s="60"/>
      <c r="O238" s="61"/>
      <c r="P238" s="38">
        <f t="shared" si="98"/>
        <v>0.2025829276517079</v>
      </c>
      <c r="Q238" s="38">
        <f t="shared" si="99"/>
        <v>-0.22003533408899148</v>
      </c>
      <c r="R238" s="38">
        <f t="shared" si="100"/>
        <v>0.9530777410965207</v>
      </c>
      <c r="S238" s="62">
        <f t="shared" si="101"/>
        <v>312.6352621723461</v>
      </c>
      <c r="T238" s="12">
        <f t="shared" si="102"/>
        <v>72.57731384750159</v>
      </c>
      <c r="U238" s="22">
        <f t="shared" si="103"/>
        <v>132.63526217234607</v>
      </c>
      <c r="V238" s="12">
        <f t="shared" si="104"/>
        <v>42.635262172346074</v>
      </c>
      <c r="W238" s="23">
        <f t="shared" si="105"/>
        <v>17.422686152498414</v>
      </c>
      <c r="X238" s="65"/>
      <c r="Y238" s="66"/>
      <c r="Z238" s="67"/>
      <c r="AA238" s="55"/>
      <c r="AB238" s="58"/>
      <c r="AC238" s="68">
        <v>191.8</v>
      </c>
      <c r="AD238" s="69">
        <v>79.4</v>
      </c>
      <c r="AE238" s="22">
        <f t="shared" si="106"/>
        <v>300.83526217234606</v>
      </c>
      <c r="AF238" s="12">
        <f t="shared" si="107"/>
        <v>210.83526217234606</v>
      </c>
      <c r="AG238" s="12">
        <f t="shared" si="108"/>
        <v>17.422686152498414</v>
      </c>
      <c r="AH238" s="48"/>
      <c r="AI238" s="27"/>
      <c r="AM238"/>
    </row>
    <row r="239" spans="1:35" s="54" customFormat="1" ht="12.75" customHeight="1">
      <c r="A239" s="89">
        <f>H239/100+140.414</f>
        <v>141.23399999999998</v>
      </c>
      <c r="B239" s="90" t="s">
        <v>49</v>
      </c>
      <c r="C239" s="1" t="s">
        <v>94</v>
      </c>
      <c r="D239" s="58">
        <v>7</v>
      </c>
      <c r="E239" s="55" t="s">
        <v>50</v>
      </c>
      <c r="F239" s="56">
        <v>76</v>
      </c>
      <c r="G239" s="57">
        <v>88</v>
      </c>
      <c r="H239" s="1">
        <f t="shared" si="97"/>
        <v>82</v>
      </c>
      <c r="I239" s="59"/>
      <c r="J239" s="55">
        <v>90</v>
      </c>
      <c r="K239" s="60">
        <v>61</v>
      </c>
      <c r="L239" s="60">
        <v>0</v>
      </c>
      <c r="M239" s="60">
        <v>60</v>
      </c>
      <c r="N239" s="60"/>
      <c r="O239" s="61"/>
      <c r="P239" s="38">
        <f t="shared" si="98"/>
        <v>0.41985744713241446</v>
      </c>
      <c r="Q239" s="38">
        <f t="shared" si="99"/>
        <v>0.437309853569698</v>
      </c>
      <c r="R239" s="38">
        <f t="shared" si="100"/>
        <v>-0.2424048101231686</v>
      </c>
      <c r="S239" s="62">
        <f t="shared" si="101"/>
        <v>46.166413006680536</v>
      </c>
      <c r="T239" s="12">
        <f t="shared" si="102"/>
        <v>-21.7941609608114</v>
      </c>
      <c r="U239" s="22">
        <f t="shared" si="103"/>
        <v>46.166413006680536</v>
      </c>
      <c r="V239" s="12">
        <f t="shared" si="104"/>
        <v>316.16641300668056</v>
      </c>
      <c r="W239" s="23">
        <f t="shared" si="105"/>
        <v>68.2058390391886</v>
      </c>
      <c r="X239" s="65"/>
      <c r="Y239" s="66"/>
      <c r="Z239" s="67"/>
      <c r="AA239" s="55"/>
      <c r="AB239" s="58"/>
      <c r="AC239" s="68">
        <v>191.8</v>
      </c>
      <c r="AD239" s="69">
        <v>79.4</v>
      </c>
      <c r="AE239" s="22">
        <f t="shared" si="106"/>
        <v>214.36641300668052</v>
      </c>
      <c r="AF239" s="12">
        <f t="shared" si="107"/>
        <v>124.36641300668052</v>
      </c>
      <c r="AG239" s="12">
        <f t="shared" si="108"/>
        <v>68.2058390391886</v>
      </c>
      <c r="AH239" s="48"/>
      <c r="AI239" s="27"/>
    </row>
    <row r="240" spans="1:35" s="54" customFormat="1" ht="12.75" customHeight="1">
      <c r="A240" s="89">
        <f>H240/100+140.414</f>
        <v>141.26899999999998</v>
      </c>
      <c r="B240" s="90" t="s">
        <v>49</v>
      </c>
      <c r="C240" s="1" t="s">
        <v>94</v>
      </c>
      <c r="D240" s="58">
        <v>7</v>
      </c>
      <c r="E240" s="55" t="s">
        <v>50</v>
      </c>
      <c r="F240" s="56">
        <v>83</v>
      </c>
      <c r="G240" s="57">
        <v>88</v>
      </c>
      <c r="H240" s="1">
        <f t="shared" si="97"/>
        <v>85.5</v>
      </c>
      <c r="I240" s="59"/>
      <c r="J240" s="55">
        <v>270</v>
      </c>
      <c r="K240" s="60">
        <v>48</v>
      </c>
      <c r="L240" s="60">
        <v>180</v>
      </c>
      <c r="M240" s="60">
        <v>53</v>
      </c>
      <c r="N240" s="60"/>
      <c r="O240" s="61"/>
      <c r="P240" s="38">
        <f t="shared" si="98"/>
        <v>-0.5343914630976611</v>
      </c>
      <c r="Q240" s="38">
        <f t="shared" si="99"/>
        <v>-0.4472357203500028</v>
      </c>
      <c r="R240" s="38">
        <f t="shared" si="100"/>
        <v>-0.40269285135760047</v>
      </c>
      <c r="S240" s="62">
        <f t="shared" si="101"/>
        <v>219.92618365131852</v>
      </c>
      <c r="T240" s="12">
        <f t="shared" si="102"/>
        <v>-30.022734770102595</v>
      </c>
      <c r="U240" s="22">
        <f t="shared" si="103"/>
        <v>219.92618365131852</v>
      </c>
      <c r="V240" s="12">
        <f t="shared" si="104"/>
        <v>129.92618365131852</v>
      </c>
      <c r="W240" s="23">
        <f t="shared" si="105"/>
        <v>59.977265229897405</v>
      </c>
      <c r="X240" s="65"/>
      <c r="Y240" s="66"/>
      <c r="Z240" s="67"/>
      <c r="AA240" s="55"/>
      <c r="AB240" s="58"/>
      <c r="AC240" s="68">
        <v>191.8</v>
      </c>
      <c r="AD240" s="69">
        <v>79.4</v>
      </c>
      <c r="AE240" s="22">
        <f t="shared" si="106"/>
        <v>28.126183651318513</v>
      </c>
      <c r="AF240" s="12">
        <f t="shared" si="107"/>
        <v>298.1261836513185</v>
      </c>
      <c r="AG240" s="12">
        <f t="shared" si="108"/>
        <v>59.977265229897405</v>
      </c>
      <c r="AH240" s="48"/>
      <c r="AI240" s="27"/>
    </row>
    <row r="241" spans="1:39" s="54" customFormat="1" ht="12.75" customHeight="1">
      <c r="A241" s="89">
        <f>H241/100+141.742</f>
        <v>141.84449999999998</v>
      </c>
      <c r="B241" s="90" t="s">
        <v>49</v>
      </c>
      <c r="C241" s="1" t="s">
        <v>94</v>
      </c>
      <c r="D241" s="58">
        <v>8</v>
      </c>
      <c r="E241" s="55" t="s">
        <v>44</v>
      </c>
      <c r="F241" s="56">
        <v>9.5</v>
      </c>
      <c r="G241" s="57">
        <v>11</v>
      </c>
      <c r="H241" s="1">
        <f t="shared" si="97"/>
        <v>10.25</v>
      </c>
      <c r="I241" s="59"/>
      <c r="J241" s="55">
        <v>90</v>
      </c>
      <c r="K241" s="60">
        <v>15</v>
      </c>
      <c r="L241" s="60">
        <v>180</v>
      </c>
      <c r="M241" s="60">
        <v>10</v>
      </c>
      <c r="N241" s="60"/>
      <c r="O241" s="61"/>
      <c r="P241" s="38">
        <f t="shared" si="98"/>
        <v>0.1677312594965206</v>
      </c>
      <c r="Q241" s="38">
        <f t="shared" si="99"/>
        <v>-0.25488700224417876</v>
      </c>
      <c r="R241" s="38">
        <f t="shared" si="100"/>
        <v>0.9512512425641977</v>
      </c>
      <c r="S241" s="62">
        <f t="shared" si="101"/>
        <v>303.34736539017194</v>
      </c>
      <c r="T241" s="12">
        <f t="shared" si="102"/>
        <v>72.2157564234265</v>
      </c>
      <c r="U241" s="22">
        <f t="shared" si="103"/>
        <v>123.34736539017194</v>
      </c>
      <c r="V241" s="12">
        <f t="shared" si="104"/>
        <v>33.347365390171944</v>
      </c>
      <c r="W241" s="23">
        <f t="shared" si="105"/>
        <v>17.784243576573502</v>
      </c>
      <c r="X241" s="65"/>
      <c r="Y241" s="66"/>
      <c r="Z241" s="67"/>
      <c r="AA241" s="55"/>
      <c r="AB241" s="58"/>
      <c r="AC241" s="68">
        <v>191.8</v>
      </c>
      <c r="AD241" s="69">
        <v>79.4</v>
      </c>
      <c r="AE241" s="22">
        <f t="shared" si="106"/>
        <v>291.54736539017193</v>
      </c>
      <c r="AF241" s="12">
        <f t="shared" si="107"/>
        <v>201.54736539017193</v>
      </c>
      <c r="AG241" s="12">
        <f t="shared" si="108"/>
        <v>17.784243576573502</v>
      </c>
      <c r="AH241" s="48"/>
      <c r="AI241" s="27"/>
      <c r="AM241"/>
    </row>
    <row r="242" spans="1:35" s="54" customFormat="1" ht="12.75" customHeight="1">
      <c r="A242" s="89">
        <f>H242/100+143</f>
        <v>143.47</v>
      </c>
      <c r="B242" s="90" t="s">
        <v>49</v>
      </c>
      <c r="C242" s="58" t="s">
        <v>95</v>
      </c>
      <c r="D242" s="58">
        <v>1</v>
      </c>
      <c r="E242" s="55" t="s">
        <v>50</v>
      </c>
      <c r="F242" s="56">
        <v>44</v>
      </c>
      <c r="G242" s="57">
        <v>50</v>
      </c>
      <c r="H242" s="1">
        <f t="shared" si="97"/>
        <v>47</v>
      </c>
      <c r="I242" s="59"/>
      <c r="J242" s="55">
        <v>90</v>
      </c>
      <c r="K242" s="60">
        <v>40</v>
      </c>
      <c r="L242" s="60">
        <v>24</v>
      </c>
      <c r="M242" s="60">
        <v>0</v>
      </c>
      <c r="N242" s="60"/>
      <c r="O242" s="61"/>
      <c r="P242" s="38">
        <f t="shared" si="98"/>
        <v>-0.26144527457462063</v>
      </c>
      <c r="Q242" s="38">
        <f t="shared" si="99"/>
        <v>0.587215701058083</v>
      </c>
      <c r="R242" s="38">
        <f t="shared" si="100"/>
        <v>-0.6998164213636981</v>
      </c>
      <c r="S242" s="62">
        <f t="shared" si="101"/>
        <v>114</v>
      </c>
      <c r="T242" s="12">
        <f t="shared" si="102"/>
        <v>-47.4322489368677</v>
      </c>
      <c r="U242" s="22">
        <f t="shared" si="103"/>
        <v>114</v>
      </c>
      <c r="V242" s="12">
        <f t="shared" si="104"/>
        <v>24</v>
      </c>
      <c r="W242" s="23">
        <f t="shared" si="105"/>
        <v>42.5677510631323</v>
      </c>
      <c r="X242" s="65"/>
      <c r="Y242" s="66"/>
      <c r="Z242" s="67"/>
      <c r="AA242" s="55"/>
      <c r="AB242" s="58"/>
      <c r="AC242" s="68">
        <v>22.2</v>
      </c>
      <c r="AD242" s="69">
        <v>70.5</v>
      </c>
      <c r="AE242" s="22">
        <f t="shared" si="106"/>
        <v>91.8</v>
      </c>
      <c r="AF242" s="12">
        <f t="shared" si="107"/>
        <v>1.7999999999999972</v>
      </c>
      <c r="AG242" s="12">
        <f t="shared" si="108"/>
        <v>42.5677510631323</v>
      </c>
      <c r="AH242" s="48"/>
      <c r="AI242" s="27"/>
    </row>
    <row r="243" spans="1:35" s="54" customFormat="1" ht="12.75" customHeight="1">
      <c r="A243" s="89">
        <f>H243/100+143</f>
        <v>143.64</v>
      </c>
      <c r="B243" s="90" t="s">
        <v>49</v>
      </c>
      <c r="C243" s="58" t="s">
        <v>95</v>
      </c>
      <c r="D243" s="58">
        <v>1</v>
      </c>
      <c r="E243" s="55" t="s">
        <v>50</v>
      </c>
      <c r="F243" s="56">
        <v>60</v>
      </c>
      <c r="G243" s="57">
        <v>68</v>
      </c>
      <c r="H243" s="1">
        <f t="shared" si="97"/>
        <v>64</v>
      </c>
      <c r="I243" s="59"/>
      <c r="J243" s="55">
        <v>90</v>
      </c>
      <c r="K243" s="60">
        <v>46</v>
      </c>
      <c r="L243" s="60">
        <v>8</v>
      </c>
      <c r="M243" s="60">
        <v>0</v>
      </c>
      <c r="N243" s="60"/>
      <c r="O243" s="61"/>
      <c r="P243" s="38">
        <f t="shared" si="98"/>
        <v>-0.1001127506571244</v>
      </c>
      <c r="Q243" s="38">
        <f t="shared" si="99"/>
        <v>0.7123392348503028</v>
      </c>
      <c r="R243" s="38">
        <f t="shared" si="100"/>
        <v>-0.6878980029495977</v>
      </c>
      <c r="S243" s="62">
        <f t="shared" si="101"/>
        <v>98</v>
      </c>
      <c r="T243" s="12">
        <f t="shared" si="102"/>
        <v>-43.720058112405404</v>
      </c>
      <c r="U243" s="22">
        <f t="shared" si="103"/>
        <v>98</v>
      </c>
      <c r="V243" s="12">
        <f t="shared" si="104"/>
        <v>8</v>
      </c>
      <c r="W243" s="23">
        <f t="shared" si="105"/>
        <v>46.279941887594596</v>
      </c>
      <c r="X243" s="65"/>
      <c r="Y243" s="66"/>
      <c r="Z243" s="67"/>
      <c r="AA243" s="55"/>
      <c r="AB243" s="58"/>
      <c r="AC243" s="68">
        <v>22.2</v>
      </c>
      <c r="AD243" s="69">
        <v>70.5</v>
      </c>
      <c r="AE243" s="22">
        <f t="shared" si="106"/>
        <v>75.8</v>
      </c>
      <c r="AF243" s="12">
        <f t="shared" si="107"/>
        <v>345.8</v>
      </c>
      <c r="AG243" s="12">
        <f t="shared" si="108"/>
        <v>46.279941887594596</v>
      </c>
      <c r="AH243" s="48"/>
      <c r="AI243" s="27"/>
    </row>
    <row r="244" spans="1:35" s="54" customFormat="1" ht="12.75" customHeight="1">
      <c r="A244" s="89">
        <f>H244/100+144.245</f>
        <v>144.46</v>
      </c>
      <c r="B244" s="90" t="s">
        <v>49</v>
      </c>
      <c r="C244" s="58" t="s">
        <v>95</v>
      </c>
      <c r="D244" s="58">
        <v>2</v>
      </c>
      <c r="E244" s="55" t="s">
        <v>50</v>
      </c>
      <c r="F244" s="56">
        <v>20</v>
      </c>
      <c r="G244" s="57">
        <v>23</v>
      </c>
      <c r="H244" s="1">
        <f t="shared" si="97"/>
        <v>21.5</v>
      </c>
      <c r="I244" s="59"/>
      <c r="J244" s="55">
        <v>90</v>
      </c>
      <c r="K244" s="60">
        <v>38</v>
      </c>
      <c r="L244" s="60">
        <v>4</v>
      </c>
      <c r="M244" s="60">
        <v>0</v>
      </c>
      <c r="N244" s="60"/>
      <c r="O244" s="61"/>
      <c r="P244" s="38">
        <f t="shared" si="98"/>
        <v>-0.042946373538823725</v>
      </c>
      <c r="Q244" s="38">
        <f t="shared" si="99"/>
        <v>0.6141617549148024</v>
      </c>
      <c r="R244" s="38">
        <f t="shared" si="100"/>
        <v>-0.7860911990162179</v>
      </c>
      <c r="S244" s="62">
        <f t="shared" si="101"/>
        <v>93.99999999999999</v>
      </c>
      <c r="T244" s="12">
        <f t="shared" si="102"/>
        <v>-51.9321855412314</v>
      </c>
      <c r="U244" s="22">
        <f t="shared" si="103"/>
        <v>93.99999999999999</v>
      </c>
      <c r="V244" s="12">
        <f t="shared" si="104"/>
        <v>3.999999999999986</v>
      </c>
      <c r="W244" s="23">
        <f t="shared" si="105"/>
        <v>38.0678144587686</v>
      </c>
      <c r="X244" s="65"/>
      <c r="Y244" s="66"/>
      <c r="Z244" s="67"/>
      <c r="AA244" s="55"/>
      <c r="AB244" s="58"/>
      <c r="AC244" s="68">
        <v>22.2</v>
      </c>
      <c r="AD244" s="69">
        <v>70.5</v>
      </c>
      <c r="AE244" s="22">
        <f t="shared" si="106"/>
        <v>71.79999999999998</v>
      </c>
      <c r="AF244" s="12">
        <f t="shared" si="107"/>
        <v>341.79999999999995</v>
      </c>
      <c r="AG244" s="12">
        <f t="shared" si="108"/>
        <v>38.0678144587686</v>
      </c>
      <c r="AH244" s="48"/>
      <c r="AI244" s="27"/>
    </row>
    <row r="245" spans="1:35" s="54" customFormat="1" ht="12.75" customHeight="1">
      <c r="A245" s="89">
        <f>H245/100+144.245</f>
        <v>144.48000000000002</v>
      </c>
      <c r="B245" s="90" t="s">
        <v>49</v>
      </c>
      <c r="C245" s="58" t="s">
        <v>95</v>
      </c>
      <c r="D245" s="58">
        <v>2</v>
      </c>
      <c r="E245" s="55" t="s">
        <v>50</v>
      </c>
      <c r="F245" s="56">
        <v>20</v>
      </c>
      <c r="G245" s="57">
        <v>27</v>
      </c>
      <c r="H245" s="1">
        <f t="shared" si="97"/>
        <v>23.5</v>
      </c>
      <c r="I245" s="59"/>
      <c r="J245" s="55">
        <v>90</v>
      </c>
      <c r="K245" s="60">
        <v>56</v>
      </c>
      <c r="L245" s="60">
        <v>330</v>
      </c>
      <c r="M245" s="60">
        <v>0</v>
      </c>
      <c r="N245" s="60"/>
      <c r="O245" s="61"/>
      <c r="P245" s="38">
        <f t="shared" si="98"/>
        <v>0.41451878627752126</v>
      </c>
      <c r="Q245" s="38">
        <f t="shared" si="99"/>
        <v>0.7179675985244507</v>
      </c>
      <c r="R245" s="38">
        <f t="shared" si="100"/>
        <v>-0.48427526002164595</v>
      </c>
      <c r="S245" s="62">
        <f t="shared" si="101"/>
        <v>59.99999999999997</v>
      </c>
      <c r="T245" s="12">
        <f t="shared" si="102"/>
        <v>-30.290973931099696</v>
      </c>
      <c r="U245" s="22">
        <f t="shared" si="103"/>
        <v>59.99999999999997</v>
      </c>
      <c r="V245" s="12">
        <f t="shared" si="104"/>
        <v>330</v>
      </c>
      <c r="W245" s="23">
        <f t="shared" si="105"/>
        <v>59.7090260689003</v>
      </c>
      <c r="X245" s="65"/>
      <c r="Y245" s="66"/>
      <c r="Z245" s="67"/>
      <c r="AA245" s="55"/>
      <c r="AB245" s="58"/>
      <c r="AC245" s="68">
        <v>22.2</v>
      </c>
      <c r="AD245" s="69">
        <v>70.5</v>
      </c>
      <c r="AE245" s="22">
        <f t="shared" si="106"/>
        <v>37.79999999999997</v>
      </c>
      <c r="AF245" s="12">
        <f t="shared" si="107"/>
        <v>307.79999999999995</v>
      </c>
      <c r="AG245" s="12">
        <f t="shared" si="108"/>
        <v>59.7090260689003</v>
      </c>
      <c r="AH245" s="48"/>
      <c r="AI245" s="27"/>
    </row>
    <row r="246" spans="1:35" s="54" customFormat="1" ht="12.75" customHeight="1">
      <c r="A246" s="89">
        <f>H246/100+144.502</f>
        <v>144.797</v>
      </c>
      <c r="B246" s="90" t="s">
        <v>49</v>
      </c>
      <c r="C246" s="58" t="s">
        <v>95</v>
      </c>
      <c r="D246" s="58">
        <v>3</v>
      </c>
      <c r="E246" s="55" t="s">
        <v>50</v>
      </c>
      <c r="F246" s="56">
        <v>23</v>
      </c>
      <c r="G246" s="57">
        <v>36</v>
      </c>
      <c r="H246" s="1">
        <f t="shared" si="97"/>
        <v>29.5</v>
      </c>
      <c r="I246" s="59"/>
      <c r="J246" s="55">
        <v>90</v>
      </c>
      <c r="K246" s="60">
        <v>61</v>
      </c>
      <c r="L246" s="60">
        <v>340</v>
      </c>
      <c r="M246" s="60">
        <v>0</v>
      </c>
      <c r="N246" s="60"/>
      <c r="O246" s="61"/>
      <c r="P246" s="38">
        <f t="shared" si="98"/>
        <v>0.2991375575912704</v>
      </c>
      <c r="Q246" s="38">
        <f t="shared" si="99"/>
        <v>0.8218736847928225</v>
      </c>
      <c r="R246" s="38">
        <f t="shared" si="100"/>
        <v>-0.45557202263150154</v>
      </c>
      <c r="S246" s="62">
        <f t="shared" si="101"/>
        <v>70</v>
      </c>
      <c r="T246" s="12">
        <f t="shared" si="102"/>
        <v>-27.514111487833933</v>
      </c>
      <c r="U246" s="22">
        <f t="shared" si="103"/>
        <v>70</v>
      </c>
      <c r="V246" s="12">
        <f t="shared" si="104"/>
        <v>340</v>
      </c>
      <c r="W246" s="23">
        <f t="shared" si="105"/>
        <v>62.48588851216607</v>
      </c>
      <c r="X246" s="65"/>
      <c r="Y246" s="66"/>
      <c r="Z246" s="67"/>
      <c r="AA246" s="55"/>
      <c r="AB246" s="58"/>
      <c r="AC246" s="68">
        <v>22.2</v>
      </c>
      <c r="AD246" s="69">
        <v>70.5</v>
      </c>
      <c r="AE246" s="22">
        <f t="shared" si="106"/>
        <v>47.8</v>
      </c>
      <c r="AF246" s="12">
        <f t="shared" si="107"/>
        <v>317.8</v>
      </c>
      <c r="AG246" s="12">
        <f t="shared" si="108"/>
        <v>62.48588851216607</v>
      </c>
      <c r="AH246" s="48"/>
      <c r="AI246" s="27"/>
    </row>
    <row r="247" spans="1:35" s="54" customFormat="1" ht="12.75" customHeight="1">
      <c r="A247" s="89">
        <f>H247/100+144.502</f>
        <v>144.882</v>
      </c>
      <c r="B247" s="90" t="s">
        <v>49</v>
      </c>
      <c r="C247" s="58" t="s">
        <v>95</v>
      </c>
      <c r="D247" s="58">
        <v>3</v>
      </c>
      <c r="E247" s="55" t="s">
        <v>50</v>
      </c>
      <c r="F247" s="56">
        <v>35</v>
      </c>
      <c r="G247" s="57">
        <v>41</v>
      </c>
      <c r="H247" s="1">
        <f t="shared" si="97"/>
        <v>38</v>
      </c>
      <c r="I247" s="59"/>
      <c r="J247" s="55">
        <v>90</v>
      </c>
      <c r="K247" s="60">
        <v>31</v>
      </c>
      <c r="L247" s="60">
        <v>358</v>
      </c>
      <c r="M247" s="60">
        <v>0</v>
      </c>
      <c r="N247" s="60"/>
      <c r="O247" s="61"/>
      <c r="P247" s="38">
        <f t="shared" si="98"/>
        <v>0.017974569596985807</v>
      </c>
      <c r="Q247" s="38">
        <f t="shared" si="99"/>
        <v>0.514724327630682</v>
      </c>
      <c r="R247" s="38">
        <f t="shared" si="100"/>
        <v>-0.85664513754241</v>
      </c>
      <c r="S247" s="62">
        <f t="shared" si="101"/>
        <v>88.00000000000001</v>
      </c>
      <c r="T247" s="12">
        <f t="shared" si="102"/>
        <v>-58.98458432267613</v>
      </c>
      <c r="U247" s="22">
        <f t="shared" si="103"/>
        <v>88.00000000000001</v>
      </c>
      <c r="V247" s="12">
        <f t="shared" si="104"/>
        <v>358</v>
      </c>
      <c r="W247" s="23">
        <f t="shared" si="105"/>
        <v>31.015415677323873</v>
      </c>
      <c r="X247" s="65"/>
      <c r="Y247" s="66"/>
      <c r="Z247" s="67"/>
      <c r="AA247" s="55"/>
      <c r="AB247" s="58"/>
      <c r="AC247" s="68">
        <v>22.2</v>
      </c>
      <c r="AD247" s="69">
        <v>70.5</v>
      </c>
      <c r="AE247" s="22">
        <f t="shared" si="106"/>
        <v>65.80000000000001</v>
      </c>
      <c r="AF247" s="12">
        <f t="shared" si="107"/>
        <v>335.8</v>
      </c>
      <c r="AG247" s="12">
        <f t="shared" si="108"/>
        <v>31.015415677323873</v>
      </c>
      <c r="AH247" s="48"/>
      <c r="AI247" s="27"/>
    </row>
    <row r="248" spans="1:36" s="54" customFormat="1" ht="12.75" customHeight="1">
      <c r="A248" s="89">
        <f>H248/100+144.502</f>
        <v>145.187</v>
      </c>
      <c r="B248" s="90" t="s">
        <v>49</v>
      </c>
      <c r="C248" s="58" t="s">
        <v>95</v>
      </c>
      <c r="D248" s="58">
        <v>3</v>
      </c>
      <c r="E248" s="55" t="s">
        <v>50</v>
      </c>
      <c r="F248" s="56">
        <v>64</v>
      </c>
      <c r="G248" s="57">
        <v>73</v>
      </c>
      <c r="H248" s="1">
        <f t="shared" si="97"/>
        <v>68.5</v>
      </c>
      <c r="I248" s="59"/>
      <c r="J248" s="55">
        <v>90</v>
      </c>
      <c r="K248" s="60">
        <v>53</v>
      </c>
      <c r="L248" s="60">
        <v>15</v>
      </c>
      <c r="M248" s="60">
        <v>0</v>
      </c>
      <c r="N248" s="60"/>
      <c r="O248" s="61"/>
      <c r="P248" s="38">
        <f t="shared" si="98"/>
        <v>-0.20670208009540494</v>
      </c>
      <c r="Q248" s="38">
        <f t="shared" si="99"/>
        <v>0.7714226649462228</v>
      </c>
      <c r="R248" s="38">
        <f t="shared" si="100"/>
        <v>-0.5813086735113171</v>
      </c>
      <c r="S248" s="62">
        <f t="shared" si="101"/>
        <v>104.99999999999999</v>
      </c>
      <c r="T248" s="12">
        <f t="shared" si="102"/>
        <v>-36.05002364615096</v>
      </c>
      <c r="U248" s="22">
        <f t="shared" si="103"/>
        <v>104.99999999999999</v>
      </c>
      <c r="V248" s="12">
        <f t="shared" si="104"/>
        <v>14.999999999999986</v>
      </c>
      <c r="W248" s="23">
        <f t="shared" si="105"/>
        <v>53.94997635384904</v>
      </c>
      <c r="X248" s="65"/>
      <c r="Y248" s="66"/>
      <c r="Z248" s="67" t="s">
        <v>51</v>
      </c>
      <c r="AA248" s="55"/>
      <c r="AB248" s="58"/>
      <c r="AC248" s="68">
        <v>22.2</v>
      </c>
      <c r="AD248" s="69">
        <v>70.5</v>
      </c>
      <c r="AE248" s="22">
        <f t="shared" si="106"/>
        <v>82.79999999999998</v>
      </c>
      <c r="AF248" s="12">
        <f t="shared" si="107"/>
        <v>352.79999999999995</v>
      </c>
      <c r="AG248" s="12">
        <f t="shared" si="108"/>
        <v>53.94997635384904</v>
      </c>
      <c r="AH248" s="48"/>
      <c r="AI248" s="27" t="str">
        <f>Z248</f>
        <v>N</v>
      </c>
      <c r="AJ248" s="54" t="s">
        <v>58</v>
      </c>
    </row>
    <row r="249" spans="1:36" s="54" customFormat="1" ht="12.75" customHeight="1">
      <c r="A249" s="89">
        <f>H249/100+145.46</f>
        <v>145.81</v>
      </c>
      <c r="B249" s="90" t="s">
        <v>49</v>
      </c>
      <c r="C249" s="58" t="s">
        <v>95</v>
      </c>
      <c r="D249" s="58">
        <v>4</v>
      </c>
      <c r="E249" s="55" t="s">
        <v>50</v>
      </c>
      <c r="F249" s="56">
        <v>30</v>
      </c>
      <c r="G249" s="57">
        <v>40</v>
      </c>
      <c r="H249" s="1">
        <f t="shared" si="97"/>
        <v>35</v>
      </c>
      <c r="I249" s="59"/>
      <c r="J249" s="55">
        <v>90</v>
      </c>
      <c r="K249" s="60">
        <v>58</v>
      </c>
      <c r="L249" s="60">
        <v>333</v>
      </c>
      <c r="M249" s="60">
        <v>0</v>
      </c>
      <c r="N249" s="60"/>
      <c r="O249" s="61"/>
      <c r="P249" s="38">
        <f t="shared" si="98"/>
        <v>0.3850057789772272</v>
      </c>
      <c r="Q249" s="38">
        <f t="shared" si="99"/>
        <v>0.7556163865008998</v>
      </c>
      <c r="R249" s="38">
        <f t="shared" si="100"/>
        <v>-0.4721615217248851</v>
      </c>
      <c r="S249" s="62">
        <f t="shared" si="101"/>
        <v>62.999999999999986</v>
      </c>
      <c r="T249" s="12">
        <f t="shared" si="102"/>
        <v>-29.10742762236415</v>
      </c>
      <c r="U249" s="22">
        <f t="shared" si="103"/>
        <v>62.999999999999986</v>
      </c>
      <c r="V249" s="12">
        <f t="shared" si="104"/>
        <v>333</v>
      </c>
      <c r="W249" s="23">
        <f t="shared" si="105"/>
        <v>60.89257237763585</v>
      </c>
      <c r="X249" s="65"/>
      <c r="Y249" s="66"/>
      <c r="Z249" s="67" t="s">
        <v>51</v>
      </c>
      <c r="AA249" s="55"/>
      <c r="AB249" s="58"/>
      <c r="AC249" s="68">
        <v>22.2</v>
      </c>
      <c r="AD249" s="69">
        <v>70.5</v>
      </c>
      <c r="AE249" s="22">
        <f t="shared" si="106"/>
        <v>40.79999999999998</v>
      </c>
      <c r="AF249" s="12">
        <f t="shared" si="107"/>
        <v>310.79999999999995</v>
      </c>
      <c r="AG249" s="12">
        <f t="shared" si="108"/>
        <v>60.89257237763585</v>
      </c>
      <c r="AH249" s="48"/>
      <c r="AI249" s="27" t="str">
        <f>Z249</f>
        <v>N</v>
      </c>
      <c r="AJ249" s="54" t="s">
        <v>96</v>
      </c>
    </row>
    <row r="250" spans="1:35" s="54" customFormat="1" ht="12.75" customHeight="1">
      <c r="A250" s="89">
        <f aca="true" t="shared" si="109" ref="A250:A255">H250/100+146.238</f>
        <v>146.293</v>
      </c>
      <c r="B250" s="90" t="s">
        <v>49</v>
      </c>
      <c r="C250" s="58" t="s">
        <v>95</v>
      </c>
      <c r="D250" s="58">
        <v>5</v>
      </c>
      <c r="E250" s="55" t="s">
        <v>50</v>
      </c>
      <c r="F250" s="56">
        <v>0</v>
      </c>
      <c r="G250" s="57">
        <v>11</v>
      </c>
      <c r="H250" s="1">
        <f t="shared" si="97"/>
        <v>5.5</v>
      </c>
      <c r="I250" s="59"/>
      <c r="J250" s="55">
        <v>90</v>
      </c>
      <c r="K250" s="60">
        <v>71</v>
      </c>
      <c r="L250" s="60">
        <v>18</v>
      </c>
      <c r="M250" s="60">
        <v>0</v>
      </c>
      <c r="N250" s="60"/>
      <c r="O250" s="61"/>
      <c r="P250" s="38">
        <f t="shared" si="98"/>
        <v>-0.2921813083573823</v>
      </c>
      <c r="Q250" s="38">
        <f t="shared" si="99"/>
        <v>0.8992416026018419</v>
      </c>
      <c r="R250" s="38">
        <f t="shared" si="100"/>
        <v>-0.30963371479466595</v>
      </c>
      <c r="S250" s="62">
        <f t="shared" si="101"/>
        <v>108</v>
      </c>
      <c r="T250" s="12">
        <f t="shared" si="102"/>
        <v>-18.13232883161487</v>
      </c>
      <c r="U250" s="22">
        <f t="shared" si="103"/>
        <v>108</v>
      </c>
      <c r="V250" s="12">
        <f t="shared" si="104"/>
        <v>18</v>
      </c>
      <c r="W250" s="23">
        <f t="shared" si="105"/>
        <v>71.86767116838513</v>
      </c>
      <c r="X250" s="65"/>
      <c r="Y250" s="66"/>
      <c r="Z250" s="67"/>
      <c r="AA250" s="55"/>
      <c r="AB250" s="58"/>
      <c r="AC250" s="68">
        <v>22.2</v>
      </c>
      <c r="AD250" s="69">
        <v>70.5</v>
      </c>
      <c r="AE250" s="22">
        <f t="shared" si="106"/>
        <v>85.8</v>
      </c>
      <c r="AF250" s="12">
        <f t="shared" si="107"/>
        <v>355.8</v>
      </c>
      <c r="AG250" s="12">
        <f t="shared" si="108"/>
        <v>71.86767116838513</v>
      </c>
      <c r="AH250" s="48"/>
      <c r="AI250" s="27"/>
    </row>
    <row r="251" spans="1:35" s="54" customFormat="1" ht="12.75" customHeight="1">
      <c r="A251" s="89">
        <f t="shared" si="109"/>
        <v>146.393</v>
      </c>
      <c r="B251" s="90" t="s">
        <v>49</v>
      </c>
      <c r="C251" s="58" t="s">
        <v>95</v>
      </c>
      <c r="D251" s="58">
        <v>5</v>
      </c>
      <c r="E251" s="55" t="s">
        <v>50</v>
      </c>
      <c r="F251" s="56">
        <v>11</v>
      </c>
      <c r="G251" s="57">
        <v>20</v>
      </c>
      <c r="H251" s="1">
        <f t="shared" si="97"/>
        <v>15.5</v>
      </c>
      <c r="I251" s="59"/>
      <c r="J251" s="55">
        <v>270</v>
      </c>
      <c r="K251" s="60">
        <v>53</v>
      </c>
      <c r="L251" s="60">
        <v>336</v>
      </c>
      <c r="M251" s="60">
        <v>0</v>
      </c>
      <c r="N251" s="60"/>
      <c r="O251" s="61"/>
      <c r="P251" s="38">
        <f t="shared" si="98"/>
        <v>0.3248343263977653</v>
      </c>
      <c r="Q251" s="38">
        <f t="shared" si="99"/>
        <v>0.7295898425157862</v>
      </c>
      <c r="R251" s="38">
        <f t="shared" si="100"/>
        <v>0.5497853807416305</v>
      </c>
      <c r="S251" s="62">
        <f t="shared" si="101"/>
        <v>66</v>
      </c>
      <c r="T251" s="12">
        <f t="shared" si="102"/>
        <v>34.54375261320726</v>
      </c>
      <c r="U251" s="22">
        <f t="shared" si="103"/>
        <v>246</v>
      </c>
      <c r="V251" s="12">
        <f t="shared" si="104"/>
        <v>156</v>
      </c>
      <c r="W251" s="23">
        <f t="shared" si="105"/>
        <v>55.45624738679274</v>
      </c>
      <c r="X251" s="65"/>
      <c r="Y251" s="66"/>
      <c r="Z251" s="67"/>
      <c r="AA251" s="55"/>
      <c r="AB251" s="58"/>
      <c r="AC251" s="68">
        <v>22.2</v>
      </c>
      <c r="AD251" s="69">
        <v>70.5</v>
      </c>
      <c r="AE251" s="22">
        <f t="shared" si="106"/>
        <v>223.8</v>
      </c>
      <c r="AF251" s="12">
        <f t="shared" si="107"/>
        <v>133.8</v>
      </c>
      <c r="AG251" s="12">
        <f t="shared" si="108"/>
        <v>55.45624738679274</v>
      </c>
      <c r="AH251" s="48"/>
      <c r="AI251" s="27"/>
    </row>
    <row r="252" spans="1:35" s="54" customFormat="1" ht="12.75" customHeight="1">
      <c r="A252" s="89">
        <f t="shared" si="109"/>
        <v>146.588</v>
      </c>
      <c r="B252" s="90" t="s">
        <v>49</v>
      </c>
      <c r="C252" s="58" t="s">
        <v>95</v>
      </c>
      <c r="D252" s="58">
        <v>5</v>
      </c>
      <c r="E252" s="55" t="s">
        <v>50</v>
      </c>
      <c r="F252" s="56">
        <v>31</v>
      </c>
      <c r="G252" s="57">
        <v>39</v>
      </c>
      <c r="H252" s="1">
        <f t="shared" si="97"/>
        <v>35</v>
      </c>
      <c r="I252" s="59"/>
      <c r="J252" s="55">
        <v>90</v>
      </c>
      <c r="K252" s="60">
        <v>63</v>
      </c>
      <c r="L252" s="60">
        <v>3</v>
      </c>
      <c r="M252" s="60">
        <v>0</v>
      </c>
      <c r="N252" s="60"/>
      <c r="O252" s="61"/>
      <c r="P252" s="38">
        <f t="shared" si="98"/>
        <v>-0.04663167846209989</v>
      </c>
      <c r="Q252" s="38">
        <f t="shared" si="99"/>
        <v>0.8897854307135197</v>
      </c>
      <c r="R252" s="38">
        <f t="shared" si="100"/>
        <v>-0.4533683215379001</v>
      </c>
      <c r="S252" s="62">
        <f t="shared" si="101"/>
        <v>92.99999999999999</v>
      </c>
      <c r="T252" s="12">
        <f t="shared" si="102"/>
        <v>-26.968228263452442</v>
      </c>
      <c r="U252" s="22">
        <f t="shared" si="103"/>
        <v>92.99999999999999</v>
      </c>
      <c r="V252" s="12">
        <f t="shared" si="104"/>
        <v>2.999999999999986</v>
      </c>
      <c r="W252" s="23">
        <f t="shared" si="105"/>
        <v>63.031771736547554</v>
      </c>
      <c r="X252" s="65"/>
      <c r="Y252" s="66"/>
      <c r="Z252" s="67"/>
      <c r="AA252" s="55"/>
      <c r="AB252" s="58"/>
      <c r="AC252" s="68">
        <v>22.2</v>
      </c>
      <c r="AD252" s="69">
        <v>70.5</v>
      </c>
      <c r="AE252" s="22">
        <f t="shared" si="106"/>
        <v>70.79999999999998</v>
      </c>
      <c r="AF252" s="12">
        <f t="shared" si="107"/>
        <v>340.79999999999995</v>
      </c>
      <c r="AG252" s="12">
        <f t="shared" si="108"/>
        <v>63.031771736547554</v>
      </c>
      <c r="AH252" s="48"/>
      <c r="AI252" s="27"/>
    </row>
    <row r="253" spans="1:35" s="54" customFormat="1" ht="12.75" customHeight="1">
      <c r="A253" s="89">
        <f t="shared" si="109"/>
        <v>146.703</v>
      </c>
      <c r="B253" s="90" t="s">
        <v>49</v>
      </c>
      <c r="C253" s="58" t="s">
        <v>95</v>
      </c>
      <c r="D253" s="58">
        <v>5</v>
      </c>
      <c r="E253" s="55" t="s">
        <v>50</v>
      </c>
      <c r="F253" s="56">
        <v>43</v>
      </c>
      <c r="G253" s="57">
        <v>50</v>
      </c>
      <c r="H253" s="1">
        <f t="shared" si="97"/>
        <v>46.5</v>
      </c>
      <c r="I253" s="59"/>
      <c r="J253" s="55">
        <v>90</v>
      </c>
      <c r="K253" s="60">
        <v>63</v>
      </c>
      <c r="L253" s="60">
        <v>3</v>
      </c>
      <c r="M253" s="60">
        <v>0</v>
      </c>
      <c r="N253" s="60"/>
      <c r="O253" s="61"/>
      <c r="P253" s="38">
        <f t="shared" si="98"/>
        <v>-0.04663167846209989</v>
      </c>
      <c r="Q253" s="38">
        <f t="shared" si="99"/>
        <v>0.8897854307135197</v>
      </c>
      <c r="R253" s="38">
        <f t="shared" si="100"/>
        <v>-0.4533683215379001</v>
      </c>
      <c r="S253" s="62">
        <f t="shared" si="101"/>
        <v>92.99999999999999</v>
      </c>
      <c r="T253" s="12">
        <f t="shared" si="102"/>
        <v>-26.968228263452442</v>
      </c>
      <c r="U253" s="22">
        <f t="shared" si="103"/>
        <v>92.99999999999999</v>
      </c>
      <c r="V253" s="12">
        <f t="shared" si="104"/>
        <v>2.999999999999986</v>
      </c>
      <c r="W253" s="23">
        <f t="shared" si="105"/>
        <v>63.031771736547554</v>
      </c>
      <c r="X253" s="65"/>
      <c r="Y253" s="66"/>
      <c r="Z253" s="67"/>
      <c r="AA253" s="55"/>
      <c r="AB253" s="58"/>
      <c r="AC253" s="68">
        <v>22.2</v>
      </c>
      <c r="AD253" s="69">
        <v>70.5</v>
      </c>
      <c r="AE253" s="22">
        <f t="shared" si="106"/>
        <v>70.79999999999998</v>
      </c>
      <c r="AF253" s="12">
        <f t="shared" si="107"/>
        <v>340.79999999999995</v>
      </c>
      <c r="AG253" s="12">
        <f t="shared" si="108"/>
        <v>63.031771736547554</v>
      </c>
      <c r="AH253" s="48"/>
      <c r="AI253" s="27"/>
    </row>
    <row r="254" spans="1:35" s="54" customFormat="1" ht="12.75" customHeight="1">
      <c r="A254" s="89">
        <f t="shared" si="109"/>
        <v>146.768</v>
      </c>
      <c r="B254" s="90" t="s">
        <v>49</v>
      </c>
      <c r="C254" s="58" t="s">
        <v>95</v>
      </c>
      <c r="D254" s="58">
        <v>5</v>
      </c>
      <c r="E254" s="55" t="s">
        <v>50</v>
      </c>
      <c r="F254" s="56">
        <v>50</v>
      </c>
      <c r="G254" s="57">
        <v>56</v>
      </c>
      <c r="H254" s="1">
        <f t="shared" si="97"/>
        <v>53</v>
      </c>
      <c r="I254" s="59"/>
      <c r="J254" s="55">
        <v>270</v>
      </c>
      <c r="K254" s="60">
        <v>46</v>
      </c>
      <c r="L254" s="60">
        <v>19</v>
      </c>
      <c r="M254" s="60">
        <v>0</v>
      </c>
      <c r="N254" s="60"/>
      <c r="O254" s="61"/>
      <c r="P254" s="38">
        <f t="shared" si="98"/>
        <v>-0.23419413122383417</v>
      </c>
      <c r="Q254" s="38">
        <f t="shared" si="99"/>
        <v>0.6801491433880984</v>
      </c>
      <c r="R254" s="38">
        <f t="shared" si="100"/>
        <v>0.6568123929645338</v>
      </c>
      <c r="S254" s="62">
        <f t="shared" si="101"/>
        <v>108.99999999999999</v>
      </c>
      <c r="T254" s="12">
        <f t="shared" si="102"/>
        <v>42.398475069285034</v>
      </c>
      <c r="U254" s="22">
        <f t="shared" si="103"/>
        <v>289</v>
      </c>
      <c r="V254" s="12">
        <f t="shared" si="104"/>
        <v>199</v>
      </c>
      <c r="W254" s="23">
        <f t="shared" si="105"/>
        <v>47.601524930714966</v>
      </c>
      <c r="X254" s="65"/>
      <c r="Y254" s="66"/>
      <c r="Z254" s="67"/>
      <c r="AA254" s="55"/>
      <c r="AB254" s="58"/>
      <c r="AC254" s="68">
        <v>22.2</v>
      </c>
      <c r="AD254" s="69">
        <v>70.5</v>
      </c>
      <c r="AE254" s="22">
        <f t="shared" si="106"/>
        <v>266.8</v>
      </c>
      <c r="AF254" s="12">
        <f t="shared" si="107"/>
        <v>176.8</v>
      </c>
      <c r="AG254" s="12">
        <f t="shared" si="108"/>
        <v>47.601524930714966</v>
      </c>
      <c r="AH254" s="48"/>
      <c r="AI254" s="27"/>
    </row>
    <row r="255" spans="1:35" s="54" customFormat="1" ht="12.75" customHeight="1">
      <c r="A255" s="89">
        <f t="shared" si="109"/>
        <v>147.243</v>
      </c>
      <c r="B255" s="90" t="s">
        <v>49</v>
      </c>
      <c r="C255" s="58" t="s">
        <v>95</v>
      </c>
      <c r="D255" s="58">
        <v>5</v>
      </c>
      <c r="E255" s="55" t="s">
        <v>50</v>
      </c>
      <c r="F255" s="56">
        <v>95</v>
      </c>
      <c r="G255" s="57">
        <v>106</v>
      </c>
      <c r="H255" s="1">
        <f t="shared" si="97"/>
        <v>100.5</v>
      </c>
      <c r="I255" s="59"/>
      <c r="J255" s="55">
        <v>90</v>
      </c>
      <c r="K255" s="60">
        <v>59</v>
      </c>
      <c r="L255" s="60">
        <v>30</v>
      </c>
      <c r="M255" s="60">
        <v>0</v>
      </c>
      <c r="N255" s="60"/>
      <c r="O255" s="61"/>
      <c r="P255" s="38">
        <f t="shared" si="98"/>
        <v>-0.42858365035105606</v>
      </c>
      <c r="Q255" s="38">
        <f t="shared" si="99"/>
        <v>0.7423286577013641</v>
      </c>
      <c r="R255" s="38">
        <f t="shared" si="100"/>
        <v>-0.44603605678833985</v>
      </c>
      <c r="S255" s="62">
        <f t="shared" si="101"/>
        <v>120</v>
      </c>
      <c r="T255" s="12">
        <f t="shared" si="102"/>
        <v>-27.49069070167862</v>
      </c>
      <c r="U255" s="22">
        <f t="shared" si="103"/>
        <v>120</v>
      </c>
      <c r="V255" s="12">
        <f t="shared" si="104"/>
        <v>30</v>
      </c>
      <c r="W255" s="23">
        <f t="shared" si="105"/>
        <v>62.509309298321384</v>
      </c>
      <c r="X255" s="65"/>
      <c r="Y255" s="66"/>
      <c r="Z255" s="67"/>
      <c r="AA255" s="55"/>
      <c r="AB255" s="58"/>
      <c r="AC255" s="68">
        <v>22.2</v>
      </c>
      <c r="AD255" s="69">
        <v>70.5</v>
      </c>
      <c r="AE255" s="22">
        <f t="shared" si="106"/>
        <v>97.8</v>
      </c>
      <c r="AF255" s="12">
        <f t="shared" si="107"/>
        <v>7.799999999999997</v>
      </c>
      <c r="AG255" s="12">
        <f t="shared" si="108"/>
        <v>62.509309298321384</v>
      </c>
      <c r="AH255" s="48"/>
      <c r="AI255" s="27"/>
    </row>
    <row r="256" spans="1:35" s="54" customFormat="1" ht="12.75" customHeight="1">
      <c r="A256" s="89">
        <f>H256/100+147.587</f>
        <v>147.69199999999998</v>
      </c>
      <c r="B256" s="90" t="s">
        <v>49</v>
      </c>
      <c r="C256" s="58" t="s">
        <v>95</v>
      </c>
      <c r="D256" s="58">
        <v>6</v>
      </c>
      <c r="E256" s="55" t="s">
        <v>50</v>
      </c>
      <c r="F256" s="56">
        <v>6</v>
      </c>
      <c r="G256" s="57">
        <v>15</v>
      </c>
      <c r="H256" s="1">
        <f t="shared" si="97"/>
        <v>10.5</v>
      </c>
      <c r="I256" s="59"/>
      <c r="J256" s="55">
        <v>90</v>
      </c>
      <c r="K256" s="60">
        <v>37</v>
      </c>
      <c r="L256" s="60">
        <v>41</v>
      </c>
      <c r="M256" s="60">
        <v>0</v>
      </c>
      <c r="N256" s="60"/>
      <c r="O256" s="61"/>
      <c r="P256" s="38">
        <f t="shared" si="98"/>
        <v>-0.3948261797210324</v>
      </c>
      <c r="Q256" s="38">
        <f t="shared" si="99"/>
        <v>0.45419556349484025</v>
      </c>
      <c r="R256" s="38">
        <f t="shared" si="100"/>
        <v>-0.6027378705387919</v>
      </c>
      <c r="S256" s="62">
        <f t="shared" si="101"/>
        <v>131</v>
      </c>
      <c r="T256" s="12">
        <f t="shared" si="102"/>
        <v>-45.04389616290561</v>
      </c>
      <c r="U256" s="22">
        <f t="shared" si="103"/>
        <v>131</v>
      </c>
      <c r="V256" s="12">
        <f t="shared" si="104"/>
        <v>41</v>
      </c>
      <c r="W256" s="23">
        <f t="shared" si="105"/>
        <v>44.95610383709439</v>
      </c>
      <c r="X256" s="65"/>
      <c r="Y256" s="66"/>
      <c r="Z256" s="67"/>
      <c r="AA256" s="55"/>
      <c r="AB256" s="58"/>
      <c r="AC256" s="68">
        <v>22.2</v>
      </c>
      <c r="AD256" s="69">
        <v>70.5</v>
      </c>
      <c r="AE256" s="22">
        <f t="shared" si="106"/>
        <v>108.8</v>
      </c>
      <c r="AF256" s="12">
        <f t="shared" si="107"/>
        <v>18.799999999999997</v>
      </c>
      <c r="AG256" s="12">
        <f t="shared" si="108"/>
        <v>44.95610383709439</v>
      </c>
      <c r="AH256" s="48"/>
      <c r="AI256" s="27"/>
    </row>
    <row r="257" spans="1:35" s="54" customFormat="1" ht="12.75" customHeight="1">
      <c r="A257" s="89">
        <f>H257/100+147.587</f>
        <v>147.772</v>
      </c>
      <c r="B257" s="90" t="s">
        <v>49</v>
      </c>
      <c r="C257" s="58" t="s">
        <v>95</v>
      </c>
      <c r="D257" s="58">
        <v>6</v>
      </c>
      <c r="E257" s="55" t="s">
        <v>50</v>
      </c>
      <c r="F257" s="56">
        <v>16</v>
      </c>
      <c r="G257" s="57">
        <v>21</v>
      </c>
      <c r="H257" s="1">
        <f t="shared" si="97"/>
        <v>18.5</v>
      </c>
      <c r="I257" s="59"/>
      <c r="J257" s="55">
        <v>270</v>
      </c>
      <c r="K257" s="60">
        <v>39</v>
      </c>
      <c r="L257" s="60">
        <v>311</v>
      </c>
      <c r="M257" s="60">
        <v>0</v>
      </c>
      <c r="N257" s="60">
        <v>20</v>
      </c>
      <c r="O257" s="61">
        <v>90</v>
      </c>
      <c r="P257" s="38">
        <f aca="true" t="shared" si="110" ref="P257:P288">COS(K257*PI()/180)*SIN(J257*PI()/180)*(SIN((M257)*PI()/180))-(COS((M257)*PI()/180)*SIN(L257*PI()/180))*(SIN(K257*PI()/180))</f>
        <v>0.47495412815485366</v>
      </c>
      <c r="Q257" s="38">
        <f aca="true" t="shared" si="111" ref="Q257:Q288">(SIN(K257*PI()/180))*(COS((M257)*PI()/180)*COS(L257*PI()/180))-(SIN((M257)*PI()/180))*(COS(K257*PI()/180)*COS(J257*PI()/180))</f>
        <v>0.4128713246760825</v>
      </c>
      <c r="R257" s="38">
        <f aca="true" t="shared" si="112" ref="R257:R288">(COS(K257*PI()/180)*COS(J257*PI()/180))*(COS((M257)*PI()/180)*SIN(L257*PI()/180))-(COS(K257*PI()/180)*SIN(J257*PI()/180))*(COS((M257)*PI()/180)*COS(L257*PI()/180))</f>
        <v>0.5098536248573544</v>
      </c>
      <c r="S257" s="62">
        <f aca="true" t="shared" si="113" ref="S257:S288">IF(P257=0,IF(Q257&gt;=0,90,270),IF(P257&gt;0,IF(Q257&gt;=0,ATAN(Q257/P257)*180/PI(),ATAN(Q257/P257)*180/PI()+360),ATAN(Q257/P257)*180/PI()+180))</f>
        <v>40.99999999999998</v>
      </c>
      <c r="T257" s="12">
        <f aca="true" t="shared" si="114" ref="T257:T288">ASIN(R257/SQRT(P257^2+Q257^2+R257^2))*180/PI()</f>
        <v>39.01319541949784</v>
      </c>
      <c r="U257" s="22">
        <f aca="true" t="shared" si="115" ref="U257:U288">IF(R257&lt;0,S257,IF(S257+180&gt;=360,S257-180,S257+180))</f>
        <v>220.99999999999997</v>
      </c>
      <c r="V257" s="12">
        <f aca="true" t="shared" si="116" ref="V257:V288">IF(U257-90&lt;0,U257+270,U257-90)</f>
        <v>130.99999999999997</v>
      </c>
      <c r="W257" s="23">
        <f aca="true" t="shared" si="117" ref="W257:W288">IF(R257&lt;0,90+T257,90-T257)</f>
        <v>50.98680458050216</v>
      </c>
      <c r="X257" s="65">
        <f>IF(-Q257&lt;0,180-ACOS(SIN((U257-90)*PI()/180)*R257/SQRT(Q257^2+R257^2))*180/PI(),ACOS(SIN((U257-90)*PI()/180)*R257/SQRT(Q257^2+R257^2))*180/PI())</f>
        <v>125.91040857193954</v>
      </c>
      <c r="Y257" s="66">
        <f>IF(O257=90,IF(X257-N257&lt;0,X257-N257+180,X257-N257),IF(O257=270,IF(X257+N257&gt;180,X257+N257-180,X257+N257),IF(U257&lt;180,IF(O257=1,IF(X257+N257&gt;180,X257+N257-180,X257+N257),IF(X257-N257&lt;0,X257-N257+180,X257-N257)),IF(O257=1,IF(X257-N257&lt;0,X257-N257+180,X257-N257),IF(X257+N257&gt;180,X257+N257-180,X257+N257)))))</f>
        <v>105.91040857193954</v>
      </c>
      <c r="Z257" s="67"/>
      <c r="AA257" s="55"/>
      <c r="AB257" s="58"/>
      <c r="AC257" s="68">
        <v>22.2</v>
      </c>
      <c r="AD257" s="69">
        <v>70.5</v>
      </c>
      <c r="AE257" s="22">
        <f aca="true" t="shared" si="118" ref="AE257:AE288">IF(AD257&gt;=0,IF(U257&gt;=AC257,U257-AC257,U257-AC257+360),IF((U257-AC257-180)&lt;0,IF(U257-AC257+180&lt;0,U257-AC257+540,U257-AC257+180),U257-AC257-180))</f>
        <v>198.79999999999998</v>
      </c>
      <c r="AF257" s="12">
        <f aca="true" t="shared" si="119" ref="AF257:AF288">IF(AE257-90&lt;0,AE257+270,AE257-90)</f>
        <v>108.79999999999998</v>
      </c>
      <c r="AG257" s="12">
        <f aca="true" t="shared" si="120" ref="AG257:AG288">W257</f>
        <v>50.98680458050216</v>
      </c>
      <c r="AH257" s="48">
        <f>Y257</f>
        <v>105.91040857193954</v>
      </c>
      <c r="AI257" s="27"/>
    </row>
    <row r="258" spans="1:35" s="54" customFormat="1" ht="12.75" customHeight="1">
      <c r="A258" s="89">
        <f>H258/100+147.587</f>
        <v>148.12699999999998</v>
      </c>
      <c r="B258" s="90" t="s">
        <v>49</v>
      </c>
      <c r="C258" s="58" t="s">
        <v>95</v>
      </c>
      <c r="D258" s="58">
        <v>6</v>
      </c>
      <c r="E258" s="55" t="s">
        <v>50</v>
      </c>
      <c r="F258" s="56">
        <v>51</v>
      </c>
      <c r="G258" s="57">
        <v>57</v>
      </c>
      <c r="H258" s="1">
        <f t="shared" si="97"/>
        <v>54</v>
      </c>
      <c r="I258" s="59"/>
      <c r="J258" s="55">
        <v>90</v>
      </c>
      <c r="K258" s="60">
        <v>45</v>
      </c>
      <c r="L258" s="60">
        <v>35</v>
      </c>
      <c r="M258" s="60">
        <v>0</v>
      </c>
      <c r="N258" s="60"/>
      <c r="O258" s="61"/>
      <c r="P258" s="38">
        <f t="shared" si="110"/>
        <v>-0.4055797876726388</v>
      </c>
      <c r="Q258" s="38">
        <f t="shared" si="111"/>
        <v>0.5792279653395691</v>
      </c>
      <c r="R258" s="38">
        <f t="shared" si="112"/>
        <v>-0.5792279653395692</v>
      </c>
      <c r="S258" s="62">
        <f t="shared" si="113"/>
        <v>125</v>
      </c>
      <c r="T258" s="12">
        <f t="shared" si="114"/>
        <v>-39.32268990964004</v>
      </c>
      <c r="U258" s="22">
        <f t="shared" si="115"/>
        <v>125</v>
      </c>
      <c r="V258" s="12">
        <f t="shared" si="116"/>
        <v>35</v>
      </c>
      <c r="W258" s="23">
        <f t="shared" si="117"/>
        <v>50.67731009035996</v>
      </c>
      <c r="X258" s="65"/>
      <c r="Y258" s="66"/>
      <c r="Z258" s="67"/>
      <c r="AA258" s="55"/>
      <c r="AB258" s="58"/>
      <c r="AC258" s="68">
        <v>22.2</v>
      </c>
      <c r="AD258" s="69">
        <v>70.5</v>
      </c>
      <c r="AE258" s="22">
        <f t="shared" si="118"/>
        <v>102.8</v>
      </c>
      <c r="AF258" s="12">
        <f t="shared" si="119"/>
        <v>12.799999999999997</v>
      </c>
      <c r="AG258" s="12">
        <f t="shared" si="120"/>
        <v>50.67731009035996</v>
      </c>
      <c r="AH258" s="48"/>
      <c r="AI258" s="27"/>
    </row>
    <row r="259" spans="1:35" s="54" customFormat="1" ht="12.75" customHeight="1">
      <c r="A259" s="89">
        <f>H259/100+147.587</f>
        <v>148.417</v>
      </c>
      <c r="B259" s="90" t="s">
        <v>49</v>
      </c>
      <c r="C259" s="58" t="s">
        <v>95</v>
      </c>
      <c r="D259" s="58">
        <v>6</v>
      </c>
      <c r="E259" s="55" t="s">
        <v>50</v>
      </c>
      <c r="F259" s="56">
        <v>79</v>
      </c>
      <c r="G259" s="57">
        <v>87</v>
      </c>
      <c r="H259" s="1">
        <f aca="true" t="shared" si="121" ref="H259:H322">(F259+G259)/2</f>
        <v>83</v>
      </c>
      <c r="I259" s="59"/>
      <c r="J259" s="55">
        <v>90</v>
      </c>
      <c r="K259" s="60">
        <v>51</v>
      </c>
      <c r="L259" s="60">
        <v>39</v>
      </c>
      <c r="M259" s="60">
        <v>0</v>
      </c>
      <c r="N259" s="60"/>
      <c r="O259" s="61"/>
      <c r="P259" s="38">
        <f t="shared" si="110"/>
        <v>-0.48907380036690273</v>
      </c>
      <c r="Q259" s="38">
        <f t="shared" si="111"/>
        <v>0.6039558454088796</v>
      </c>
      <c r="R259" s="38">
        <f t="shared" si="112"/>
        <v>-0.48907380036690284</v>
      </c>
      <c r="S259" s="62">
        <f t="shared" si="113"/>
        <v>129</v>
      </c>
      <c r="T259" s="12">
        <f t="shared" si="114"/>
        <v>-32.183044081342544</v>
      </c>
      <c r="U259" s="22">
        <f t="shared" si="115"/>
        <v>129</v>
      </c>
      <c r="V259" s="12">
        <f t="shared" si="116"/>
        <v>39</v>
      </c>
      <c r="W259" s="23">
        <f t="shared" si="117"/>
        <v>57.816955918657456</v>
      </c>
      <c r="X259" s="65"/>
      <c r="Y259" s="66"/>
      <c r="Z259" s="67"/>
      <c r="AA259" s="55"/>
      <c r="AB259" s="58"/>
      <c r="AC259" s="68">
        <v>22.2</v>
      </c>
      <c r="AD259" s="69">
        <v>70.5</v>
      </c>
      <c r="AE259" s="22">
        <f t="shared" si="118"/>
        <v>106.8</v>
      </c>
      <c r="AF259" s="12">
        <f t="shared" si="119"/>
        <v>16.799999999999997</v>
      </c>
      <c r="AG259" s="12">
        <f t="shared" si="120"/>
        <v>57.816955918657456</v>
      </c>
      <c r="AH259" s="48"/>
      <c r="AI259" s="27"/>
    </row>
    <row r="260" spans="1:35" s="54" customFormat="1" ht="12.75" customHeight="1">
      <c r="A260" s="89">
        <f>H260/100+150</f>
        <v>150.69</v>
      </c>
      <c r="B260" s="90" t="s">
        <v>49</v>
      </c>
      <c r="C260" s="58" t="s">
        <v>97</v>
      </c>
      <c r="D260" s="58">
        <v>1</v>
      </c>
      <c r="E260" s="55" t="s">
        <v>50</v>
      </c>
      <c r="F260" s="56">
        <v>59</v>
      </c>
      <c r="G260" s="57">
        <v>79</v>
      </c>
      <c r="H260" s="1">
        <f t="shared" si="121"/>
        <v>69</v>
      </c>
      <c r="I260" s="59"/>
      <c r="J260" s="55">
        <v>90</v>
      </c>
      <c r="K260" s="60">
        <v>79</v>
      </c>
      <c r="L260" s="60">
        <v>37</v>
      </c>
      <c r="M260" s="60">
        <v>0</v>
      </c>
      <c r="N260" s="60"/>
      <c r="O260" s="61"/>
      <c r="P260" s="38">
        <f t="shared" si="110"/>
        <v>-0.5907579861332358</v>
      </c>
      <c r="Q260" s="38">
        <f t="shared" si="111"/>
        <v>0.7839623263290126</v>
      </c>
      <c r="R260" s="38">
        <f t="shared" si="112"/>
        <v>-0.15238683934415848</v>
      </c>
      <c r="S260" s="62">
        <f t="shared" si="113"/>
        <v>127</v>
      </c>
      <c r="T260" s="12">
        <f t="shared" si="114"/>
        <v>-8.82410589058501</v>
      </c>
      <c r="U260" s="22">
        <f t="shared" si="115"/>
        <v>127</v>
      </c>
      <c r="V260" s="12">
        <f t="shared" si="116"/>
        <v>37</v>
      </c>
      <c r="W260" s="23">
        <f t="shared" si="117"/>
        <v>81.175894109415</v>
      </c>
      <c r="X260" s="65"/>
      <c r="Y260" s="66"/>
      <c r="Z260" s="67"/>
      <c r="AA260" s="55"/>
      <c r="AB260" s="58"/>
      <c r="AC260" s="68">
        <v>55.7</v>
      </c>
      <c r="AD260" s="69">
        <v>78.6</v>
      </c>
      <c r="AE260" s="22">
        <f t="shared" si="118"/>
        <v>71.3</v>
      </c>
      <c r="AF260" s="12">
        <f t="shared" si="119"/>
        <v>341.3</v>
      </c>
      <c r="AG260" s="12">
        <f t="shared" si="120"/>
        <v>81.175894109415</v>
      </c>
      <c r="AH260" s="48"/>
      <c r="AI260" s="27"/>
    </row>
    <row r="261" spans="1:35" s="54" customFormat="1" ht="12.75" customHeight="1">
      <c r="A261" s="89">
        <f>H261/100+151.206</f>
        <v>151.396</v>
      </c>
      <c r="B261" s="90" t="s">
        <v>49</v>
      </c>
      <c r="C261" s="58" t="s">
        <v>97</v>
      </c>
      <c r="D261" s="58">
        <v>2</v>
      </c>
      <c r="E261" s="55" t="s">
        <v>50</v>
      </c>
      <c r="F261" s="56">
        <v>14</v>
      </c>
      <c r="G261" s="57">
        <v>24</v>
      </c>
      <c r="H261" s="1">
        <f t="shared" si="121"/>
        <v>19</v>
      </c>
      <c r="I261" s="59"/>
      <c r="J261" s="55">
        <v>90</v>
      </c>
      <c r="K261" s="60">
        <v>56</v>
      </c>
      <c r="L261" s="60">
        <v>39</v>
      </c>
      <c r="M261" s="60">
        <v>0</v>
      </c>
      <c r="N261" s="60"/>
      <c r="O261" s="61"/>
      <c r="P261" s="38">
        <f t="shared" si="110"/>
        <v>-0.5217302493553468</v>
      </c>
      <c r="Q261" s="38">
        <f t="shared" si="111"/>
        <v>0.6442832014072412</v>
      </c>
      <c r="R261" s="38">
        <f t="shared" si="112"/>
        <v>-0.43457450660768865</v>
      </c>
      <c r="S261" s="62">
        <f t="shared" si="113"/>
        <v>129</v>
      </c>
      <c r="T261" s="12">
        <f t="shared" si="114"/>
        <v>-27.663149400297577</v>
      </c>
      <c r="U261" s="22">
        <f t="shared" si="115"/>
        <v>129</v>
      </c>
      <c r="V261" s="12">
        <f t="shared" si="116"/>
        <v>39</v>
      </c>
      <c r="W261" s="23">
        <f t="shared" si="117"/>
        <v>62.33685059970242</v>
      </c>
      <c r="X261" s="65"/>
      <c r="Y261" s="66"/>
      <c r="Z261" s="67"/>
      <c r="AA261" s="55"/>
      <c r="AB261" s="58"/>
      <c r="AC261" s="68">
        <v>55.7</v>
      </c>
      <c r="AD261" s="69">
        <v>78.6</v>
      </c>
      <c r="AE261" s="22">
        <f t="shared" si="118"/>
        <v>73.3</v>
      </c>
      <c r="AF261" s="12">
        <f t="shared" si="119"/>
        <v>343.3</v>
      </c>
      <c r="AG261" s="12">
        <f t="shared" si="120"/>
        <v>62.33685059970242</v>
      </c>
      <c r="AH261" s="48"/>
      <c r="AI261" s="27"/>
    </row>
    <row r="262" spans="1:35" s="54" customFormat="1" ht="12.75" customHeight="1">
      <c r="A262" s="89">
        <f>H262/100+151.206</f>
        <v>151.90099999999998</v>
      </c>
      <c r="B262" s="90" t="s">
        <v>49</v>
      </c>
      <c r="C262" s="58" t="s">
        <v>97</v>
      </c>
      <c r="D262" s="58">
        <v>2</v>
      </c>
      <c r="E262" s="55" t="s">
        <v>50</v>
      </c>
      <c r="F262" s="56">
        <v>66</v>
      </c>
      <c r="G262" s="57">
        <v>73</v>
      </c>
      <c r="H262" s="1">
        <f t="shared" si="121"/>
        <v>69.5</v>
      </c>
      <c r="I262" s="59"/>
      <c r="J262" s="55">
        <v>90</v>
      </c>
      <c r="K262" s="60">
        <v>46</v>
      </c>
      <c r="L262" s="60">
        <v>56</v>
      </c>
      <c r="M262" s="60">
        <v>0</v>
      </c>
      <c r="N262" s="60"/>
      <c r="O262" s="61"/>
      <c r="P262" s="38">
        <f t="shared" si="110"/>
        <v>-0.5963597219149837</v>
      </c>
      <c r="Q262" s="38">
        <f t="shared" si="111"/>
        <v>0.4022497115334376</v>
      </c>
      <c r="R262" s="38">
        <f t="shared" si="112"/>
        <v>-0.3884480310972243</v>
      </c>
      <c r="S262" s="62">
        <f t="shared" si="113"/>
        <v>146</v>
      </c>
      <c r="T262" s="12">
        <f t="shared" si="114"/>
        <v>-28.369326198724444</v>
      </c>
      <c r="U262" s="22">
        <f t="shared" si="115"/>
        <v>146</v>
      </c>
      <c r="V262" s="12">
        <f t="shared" si="116"/>
        <v>56</v>
      </c>
      <c r="W262" s="23">
        <f t="shared" si="117"/>
        <v>61.630673801275556</v>
      </c>
      <c r="X262" s="65"/>
      <c r="Y262" s="66"/>
      <c r="Z262" s="67"/>
      <c r="AA262" s="55"/>
      <c r="AB262" s="58"/>
      <c r="AC262" s="68">
        <v>55.7</v>
      </c>
      <c r="AD262" s="69">
        <v>78.6</v>
      </c>
      <c r="AE262" s="22">
        <f t="shared" si="118"/>
        <v>90.3</v>
      </c>
      <c r="AF262" s="12">
        <f t="shared" si="119"/>
        <v>0.29999999999999716</v>
      </c>
      <c r="AG262" s="12">
        <f t="shared" si="120"/>
        <v>61.630673801275556</v>
      </c>
      <c r="AH262" s="48"/>
      <c r="AI262" s="27"/>
    </row>
    <row r="263" spans="1:35" s="54" customFormat="1" ht="12.75" customHeight="1">
      <c r="A263" s="89">
        <f>H263/100+151.206</f>
        <v>152.016</v>
      </c>
      <c r="B263" s="90" t="s">
        <v>49</v>
      </c>
      <c r="C263" s="58" t="s">
        <v>97</v>
      </c>
      <c r="D263" s="58">
        <v>2</v>
      </c>
      <c r="E263" s="55" t="s">
        <v>50</v>
      </c>
      <c r="F263" s="56">
        <v>75</v>
      </c>
      <c r="G263" s="57">
        <v>87</v>
      </c>
      <c r="H263" s="1">
        <f t="shared" si="121"/>
        <v>81</v>
      </c>
      <c r="I263" s="59"/>
      <c r="J263" s="55">
        <v>90</v>
      </c>
      <c r="K263" s="60">
        <v>51</v>
      </c>
      <c r="L263" s="60">
        <v>70</v>
      </c>
      <c r="M263" s="60">
        <v>0</v>
      </c>
      <c r="N263" s="60"/>
      <c r="O263" s="61"/>
      <c r="P263" s="38">
        <f t="shared" si="110"/>
        <v>-0.7302783252546854</v>
      </c>
      <c r="Q263" s="38">
        <f t="shared" si="111"/>
        <v>0.2657995731224779</v>
      </c>
      <c r="R263" s="38">
        <f t="shared" si="112"/>
        <v>-0.21524025034463135</v>
      </c>
      <c r="S263" s="62">
        <f t="shared" si="113"/>
        <v>160</v>
      </c>
      <c r="T263" s="12">
        <f t="shared" si="114"/>
        <v>-15.480733437648267</v>
      </c>
      <c r="U263" s="22">
        <f t="shared" si="115"/>
        <v>160</v>
      </c>
      <c r="V263" s="12">
        <f t="shared" si="116"/>
        <v>70</v>
      </c>
      <c r="W263" s="23">
        <f t="shared" si="117"/>
        <v>74.51926656235173</v>
      </c>
      <c r="X263" s="65"/>
      <c r="Y263" s="66"/>
      <c r="Z263" s="67"/>
      <c r="AA263" s="55"/>
      <c r="AB263" s="58"/>
      <c r="AC263" s="68">
        <v>55.7</v>
      </c>
      <c r="AD263" s="69">
        <v>78.6</v>
      </c>
      <c r="AE263" s="22">
        <f t="shared" si="118"/>
        <v>104.3</v>
      </c>
      <c r="AF263" s="12">
        <f t="shared" si="119"/>
        <v>14.299999999999997</v>
      </c>
      <c r="AG263" s="12">
        <f t="shared" si="120"/>
        <v>74.51926656235173</v>
      </c>
      <c r="AH263" s="48"/>
      <c r="AI263" s="27"/>
    </row>
    <row r="264" spans="1:36" s="54" customFormat="1" ht="12.75" customHeight="1">
      <c r="A264" s="89">
        <f>H264/100+151.206</f>
        <v>152.446</v>
      </c>
      <c r="B264" s="90" t="s">
        <v>49</v>
      </c>
      <c r="C264" s="58" t="s">
        <v>97</v>
      </c>
      <c r="D264" s="58">
        <v>2</v>
      </c>
      <c r="E264" s="55" t="s">
        <v>50</v>
      </c>
      <c r="F264" s="56">
        <v>116</v>
      </c>
      <c r="G264" s="57">
        <v>132</v>
      </c>
      <c r="H264" s="1">
        <f t="shared" si="121"/>
        <v>124</v>
      </c>
      <c r="I264" s="59"/>
      <c r="J264" s="55">
        <v>90</v>
      </c>
      <c r="K264" s="60">
        <v>70</v>
      </c>
      <c r="L264" s="60">
        <v>29</v>
      </c>
      <c r="M264" s="60">
        <v>0</v>
      </c>
      <c r="N264" s="60"/>
      <c r="O264" s="61"/>
      <c r="P264" s="38">
        <f t="shared" si="110"/>
        <v>-0.4555720226315014</v>
      </c>
      <c r="Q264" s="38">
        <f t="shared" si="111"/>
        <v>0.8218736847928224</v>
      </c>
      <c r="R264" s="38">
        <f t="shared" si="112"/>
        <v>-0.29913755759127064</v>
      </c>
      <c r="S264" s="62">
        <f t="shared" si="113"/>
        <v>119</v>
      </c>
      <c r="T264" s="12">
        <f t="shared" si="114"/>
        <v>-17.658121755168853</v>
      </c>
      <c r="U264" s="22">
        <f t="shared" si="115"/>
        <v>119</v>
      </c>
      <c r="V264" s="12">
        <f t="shared" si="116"/>
        <v>29</v>
      </c>
      <c r="W264" s="23">
        <f t="shared" si="117"/>
        <v>72.34187824483115</v>
      </c>
      <c r="X264" s="65"/>
      <c r="Y264" s="66"/>
      <c r="Z264" s="67"/>
      <c r="AA264" s="55"/>
      <c r="AB264" s="58"/>
      <c r="AC264" s="68">
        <v>55.7</v>
      </c>
      <c r="AD264" s="69">
        <v>78.6</v>
      </c>
      <c r="AE264" s="22">
        <f t="shared" si="118"/>
        <v>63.3</v>
      </c>
      <c r="AF264" s="12">
        <f t="shared" si="119"/>
        <v>333.3</v>
      </c>
      <c r="AG264" s="12">
        <f t="shared" si="120"/>
        <v>72.34187824483115</v>
      </c>
      <c r="AH264" s="48"/>
      <c r="AI264" s="27"/>
      <c r="AJ264" s="54" t="s">
        <v>145</v>
      </c>
    </row>
    <row r="265" spans="1:35" s="54" customFormat="1" ht="12.75" customHeight="1">
      <c r="A265" s="89">
        <f>H265/100+152.408</f>
        <v>152.56799999999998</v>
      </c>
      <c r="B265" s="90" t="s">
        <v>49</v>
      </c>
      <c r="C265" s="58" t="s">
        <v>97</v>
      </c>
      <c r="D265" s="58">
        <v>3</v>
      </c>
      <c r="E265" s="55" t="s">
        <v>50</v>
      </c>
      <c r="F265" s="56">
        <v>11</v>
      </c>
      <c r="G265" s="57">
        <v>21</v>
      </c>
      <c r="H265" s="1">
        <f t="shared" si="121"/>
        <v>16</v>
      </c>
      <c r="I265" s="59"/>
      <c r="J265" s="55">
        <v>90</v>
      </c>
      <c r="K265" s="60">
        <v>54</v>
      </c>
      <c r="L265" s="60">
        <v>41</v>
      </c>
      <c r="M265" s="60">
        <v>0</v>
      </c>
      <c r="N265" s="60"/>
      <c r="O265" s="61"/>
      <c r="P265" s="38">
        <f t="shared" si="110"/>
        <v>-0.5307629037664466</v>
      </c>
      <c r="Q265" s="38">
        <f t="shared" si="111"/>
        <v>0.6105728762178054</v>
      </c>
      <c r="R265" s="38">
        <f t="shared" si="112"/>
        <v>-0.4436071610187886</v>
      </c>
      <c r="S265" s="62">
        <f t="shared" si="113"/>
        <v>131</v>
      </c>
      <c r="T265" s="12">
        <f t="shared" si="114"/>
        <v>-28.737218782629515</v>
      </c>
      <c r="U265" s="22">
        <f t="shared" si="115"/>
        <v>131</v>
      </c>
      <c r="V265" s="12">
        <f t="shared" si="116"/>
        <v>41</v>
      </c>
      <c r="W265" s="23">
        <f t="shared" si="117"/>
        <v>61.26278121737049</v>
      </c>
      <c r="X265" s="65"/>
      <c r="Y265" s="66"/>
      <c r="Z265" s="67"/>
      <c r="AA265" s="55"/>
      <c r="AB265" s="58"/>
      <c r="AC265" s="68">
        <v>55.7</v>
      </c>
      <c r="AD265" s="69">
        <v>78.6</v>
      </c>
      <c r="AE265" s="22">
        <f t="shared" si="118"/>
        <v>75.3</v>
      </c>
      <c r="AF265" s="12">
        <f t="shared" si="119"/>
        <v>345.3</v>
      </c>
      <c r="AG265" s="12">
        <f t="shared" si="120"/>
        <v>61.26278121737049</v>
      </c>
      <c r="AH265" s="48"/>
      <c r="AI265" s="27"/>
    </row>
    <row r="266" spans="1:35" s="54" customFormat="1" ht="12.75" customHeight="1">
      <c r="A266" s="89">
        <f>H266/100+152.408</f>
        <v>152.82299999999998</v>
      </c>
      <c r="B266" s="90" t="s">
        <v>49</v>
      </c>
      <c r="C266" s="58" t="s">
        <v>97</v>
      </c>
      <c r="D266" s="58">
        <v>3</v>
      </c>
      <c r="E266" s="55" t="s">
        <v>50</v>
      </c>
      <c r="F266" s="56">
        <v>39</v>
      </c>
      <c r="G266" s="57">
        <v>44</v>
      </c>
      <c r="H266" s="1">
        <f t="shared" si="121"/>
        <v>41.5</v>
      </c>
      <c r="I266" s="59"/>
      <c r="J266" s="55">
        <v>90</v>
      </c>
      <c r="K266" s="60">
        <v>33</v>
      </c>
      <c r="L266" s="60">
        <v>47</v>
      </c>
      <c r="M266" s="60">
        <v>0</v>
      </c>
      <c r="N266" s="60"/>
      <c r="O266" s="61"/>
      <c r="P266" s="38">
        <f t="shared" si="110"/>
        <v>-0.39832377430453303</v>
      </c>
      <c r="Q266" s="38">
        <f t="shared" si="111"/>
        <v>0.37144292870627016</v>
      </c>
      <c r="R266" s="38">
        <f t="shared" si="112"/>
        <v>-0.5719719519714634</v>
      </c>
      <c r="S266" s="62">
        <f t="shared" si="113"/>
        <v>137</v>
      </c>
      <c r="T266" s="12">
        <f t="shared" si="114"/>
        <v>-46.402232399749344</v>
      </c>
      <c r="U266" s="22">
        <f t="shared" si="115"/>
        <v>137</v>
      </c>
      <c r="V266" s="12">
        <f t="shared" si="116"/>
        <v>47</v>
      </c>
      <c r="W266" s="23">
        <f t="shared" si="117"/>
        <v>43.597767600250656</v>
      </c>
      <c r="X266" s="65"/>
      <c r="Y266" s="66"/>
      <c r="Z266" s="67"/>
      <c r="AA266" s="55"/>
      <c r="AB266" s="58"/>
      <c r="AC266" s="68">
        <v>55.7</v>
      </c>
      <c r="AD266" s="69">
        <v>78.6</v>
      </c>
      <c r="AE266" s="22">
        <f t="shared" si="118"/>
        <v>81.3</v>
      </c>
      <c r="AF266" s="12">
        <f t="shared" si="119"/>
        <v>351.3</v>
      </c>
      <c r="AG266" s="12">
        <f t="shared" si="120"/>
        <v>43.597767600250656</v>
      </c>
      <c r="AH266" s="48"/>
      <c r="AI266" s="27"/>
    </row>
    <row r="267" spans="1:35" s="54" customFormat="1" ht="12.75" customHeight="1">
      <c r="A267" s="89">
        <f>H267/100+152.408</f>
        <v>153.04299999999998</v>
      </c>
      <c r="B267" s="90" t="s">
        <v>49</v>
      </c>
      <c r="C267" s="58" t="s">
        <v>97</v>
      </c>
      <c r="D267" s="58">
        <v>3</v>
      </c>
      <c r="E267" s="55" t="s">
        <v>50</v>
      </c>
      <c r="F267" s="56">
        <v>57</v>
      </c>
      <c r="G267" s="57">
        <v>70</v>
      </c>
      <c r="H267" s="1">
        <f t="shared" si="121"/>
        <v>63.5</v>
      </c>
      <c r="I267" s="59"/>
      <c r="J267" s="55">
        <v>90</v>
      </c>
      <c r="K267" s="60">
        <v>60</v>
      </c>
      <c r="L267" s="60">
        <v>29</v>
      </c>
      <c r="M267" s="60">
        <v>0</v>
      </c>
      <c r="N267" s="60"/>
      <c r="O267" s="61"/>
      <c r="P267" s="38">
        <f t="shared" si="110"/>
        <v>-0.4198574471324144</v>
      </c>
      <c r="Q267" s="38">
        <f t="shared" si="111"/>
        <v>0.7574428850332227</v>
      </c>
      <c r="R267" s="38">
        <f t="shared" si="112"/>
        <v>-0.437309853569698</v>
      </c>
      <c r="S267" s="62">
        <f t="shared" si="113"/>
        <v>119</v>
      </c>
      <c r="T267" s="12">
        <f t="shared" si="114"/>
        <v>-26.792037285380253</v>
      </c>
      <c r="U267" s="22">
        <f t="shared" si="115"/>
        <v>119</v>
      </c>
      <c r="V267" s="12">
        <f t="shared" si="116"/>
        <v>29</v>
      </c>
      <c r="W267" s="23">
        <f t="shared" si="117"/>
        <v>63.20796271461975</v>
      </c>
      <c r="X267" s="65"/>
      <c r="Y267" s="66"/>
      <c r="Z267" s="67"/>
      <c r="AA267" s="55"/>
      <c r="AB267" s="58"/>
      <c r="AC267" s="68">
        <v>55.7</v>
      </c>
      <c r="AD267" s="69">
        <v>78.6</v>
      </c>
      <c r="AE267" s="22">
        <f t="shared" si="118"/>
        <v>63.3</v>
      </c>
      <c r="AF267" s="12">
        <f t="shared" si="119"/>
        <v>333.3</v>
      </c>
      <c r="AG267" s="12">
        <f t="shared" si="120"/>
        <v>63.20796271461975</v>
      </c>
      <c r="AH267" s="48"/>
      <c r="AI267" s="27"/>
    </row>
    <row r="268" spans="1:35" s="54" customFormat="1" ht="12.75" customHeight="1">
      <c r="A268" s="89">
        <f>H268/100+152.408</f>
        <v>153.45299999999997</v>
      </c>
      <c r="B268" s="90" t="s">
        <v>49</v>
      </c>
      <c r="C268" s="58" t="s">
        <v>97</v>
      </c>
      <c r="D268" s="58">
        <v>3</v>
      </c>
      <c r="E268" s="55" t="s">
        <v>50</v>
      </c>
      <c r="F268" s="56">
        <v>96</v>
      </c>
      <c r="G268" s="57">
        <v>113</v>
      </c>
      <c r="H268" s="1">
        <f t="shared" si="121"/>
        <v>104.5</v>
      </c>
      <c r="I268" s="59"/>
      <c r="J268" s="55">
        <v>270</v>
      </c>
      <c r="K268" s="60">
        <v>62</v>
      </c>
      <c r="L268" s="60">
        <v>303</v>
      </c>
      <c r="M268" s="60">
        <v>0</v>
      </c>
      <c r="N268" s="60"/>
      <c r="O268" s="61"/>
      <c r="P268" s="38">
        <f t="shared" si="110"/>
        <v>0.7405021591690415</v>
      </c>
      <c r="Q268" s="38">
        <f t="shared" si="111"/>
        <v>0.48088772494352655</v>
      </c>
      <c r="R268" s="38">
        <f t="shared" si="112"/>
        <v>0.25569253892270416</v>
      </c>
      <c r="S268" s="62">
        <f t="shared" si="113"/>
        <v>32.99999999999997</v>
      </c>
      <c r="T268" s="12">
        <f t="shared" si="114"/>
        <v>16.150472489385397</v>
      </c>
      <c r="U268" s="22">
        <f t="shared" si="115"/>
        <v>212.99999999999997</v>
      </c>
      <c r="V268" s="12">
        <f t="shared" si="116"/>
        <v>122.99999999999997</v>
      </c>
      <c r="W268" s="23">
        <f t="shared" si="117"/>
        <v>73.8495275106146</v>
      </c>
      <c r="X268" s="65"/>
      <c r="Y268" s="66"/>
      <c r="Z268" s="67"/>
      <c r="AA268" s="55"/>
      <c r="AB268" s="58"/>
      <c r="AC268" s="68">
        <v>55.7</v>
      </c>
      <c r="AD268" s="69">
        <v>78.6</v>
      </c>
      <c r="AE268" s="22">
        <f t="shared" si="118"/>
        <v>157.29999999999995</v>
      </c>
      <c r="AF268" s="12">
        <f t="shared" si="119"/>
        <v>67.29999999999995</v>
      </c>
      <c r="AG268" s="12">
        <f t="shared" si="120"/>
        <v>73.8495275106146</v>
      </c>
      <c r="AH268" s="48"/>
      <c r="AI268" s="27"/>
    </row>
    <row r="269" spans="1:39" s="54" customFormat="1" ht="12.75" customHeight="1">
      <c r="A269" s="89">
        <f>H269/100+153.424</f>
        <v>153.489</v>
      </c>
      <c r="B269" s="90" t="s">
        <v>49</v>
      </c>
      <c r="C269" s="58" t="s">
        <v>97</v>
      </c>
      <c r="D269" s="58">
        <v>4</v>
      </c>
      <c r="E269" s="55" t="s">
        <v>44</v>
      </c>
      <c r="F269" s="56">
        <v>6</v>
      </c>
      <c r="G269" s="57">
        <v>7</v>
      </c>
      <c r="H269" s="1">
        <f t="shared" si="121"/>
        <v>6.5</v>
      </c>
      <c r="I269" s="59"/>
      <c r="J269" s="55">
        <v>270</v>
      </c>
      <c r="K269" s="60">
        <v>8</v>
      </c>
      <c r="L269" s="60">
        <v>0</v>
      </c>
      <c r="M269" s="60">
        <v>13</v>
      </c>
      <c r="N269" s="60"/>
      <c r="O269" s="61"/>
      <c r="P269" s="38">
        <f t="shared" si="110"/>
        <v>-0.22276184614647923</v>
      </c>
      <c r="Q269" s="38">
        <f t="shared" si="111"/>
        <v>0.13560610339882107</v>
      </c>
      <c r="R269" s="38">
        <f t="shared" si="112"/>
        <v>0.9648875622944737</v>
      </c>
      <c r="S269" s="62">
        <f t="shared" si="113"/>
        <v>148.66906709884108</v>
      </c>
      <c r="T269" s="12">
        <f t="shared" si="114"/>
        <v>74.875416916682</v>
      </c>
      <c r="U269" s="22">
        <f t="shared" si="115"/>
        <v>328.6690670988411</v>
      </c>
      <c r="V269" s="12">
        <f t="shared" si="116"/>
        <v>238.66906709884108</v>
      </c>
      <c r="W269" s="23">
        <f t="shared" si="117"/>
        <v>15.124583083318</v>
      </c>
      <c r="X269" s="65"/>
      <c r="Y269" s="66"/>
      <c r="Z269" s="67"/>
      <c r="AA269" s="55"/>
      <c r="AB269" s="58"/>
      <c r="AC269" s="68">
        <v>55.7</v>
      </c>
      <c r="AD269" s="69">
        <v>78.6</v>
      </c>
      <c r="AE269" s="22">
        <f t="shared" si="118"/>
        <v>272.9690670988411</v>
      </c>
      <c r="AF269" s="12">
        <f t="shared" si="119"/>
        <v>182.9690670988411</v>
      </c>
      <c r="AG269" s="12">
        <f t="shared" si="120"/>
        <v>15.124583083318</v>
      </c>
      <c r="AH269" s="48"/>
      <c r="AI269" s="27"/>
      <c r="AM269"/>
    </row>
    <row r="270" spans="1:36" s="54" customFormat="1" ht="12.75" customHeight="1">
      <c r="A270" s="89">
        <f>H270/100+158.7</f>
        <v>159.45</v>
      </c>
      <c r="B270" s="90" t="s">
        <v>49</v>
      </c>
      <c r="C270" s="58" t="s">
        <v>98</v>
      </c>
      <c r="D270" s="58">
        <v>2</v>
      </c>
      <c r="E270" s="55" t="s">
        <v>50</v>
      </c>
      <c r="F270" s="56">
        <v>71</v>
      </c>
      <c r="G270" s="57">
        <v>79</v>
      </c>
      <c r="H270" s="1">
        <f t="shared" si="121"/>
        <v>75</v>
      </c>
      <c r="I270" s="59"/>
      <c r="J270" s="55">
        <v>270</v>
      </c>
      <c r="K270" s="60">
        <v>59</v>
      </c>
      <c r="L270" s="60">
        <v>32</v>
      </c>
      <c r="M270" s="60">
        <v>0</v>
      </c>
      <c r="N270" s="60"/>
      <c r="O270" s="61"/>
      <c r="P270" s="38">
        <f t="shared" si="110"/>
        <v>-0.4542294653128256</v>
      </c>
      <c r="Q270" s="38">
        <f t="shared" si="111"/>
        <v>0.7269190974479689</v>
      </c>
      <c r="R270" s="38">
        <f t="shared" si="112"/>
        <v>0.43677705887554225</v>
      </c>
      <c r="S270" s="62">
        <f t="shared" si="113"/>
        <v>122</v>
      </c>
      <c r="T270" s="12">
        <f t="shared" si="114"/>
        <v>27.00151261825341</v>
      </c>
      <c r="U270" s="22">
        <f t="shared" si="115"/>
        <v>302</v>
      </c>
      <c r="V270" s="12">
        <f t="shared" si="116"/>
        <v>212</v>
      </c>
      <c r="W270" s="23">
        <f t="shared" si="117"/>
        <v>62.998487381746585</v>
      </c>
      <c r="X270" s="65"/>
      <c r="Y270" s="66"/>
      <c r="Z270" s="67" t="s">
        <v>51</v>
      </c>
      <c r="AA270" s="55"/>
      <c r="AB270" s="58"/>
      <c r="AC270" s="68">
        <v>212.5</v>
      </c>
      <c r="AD270" s="69">
        <v>63.2</v>
      </c>
      <c r="AE270" s="22">
        <f t="shared" si="118"/>
        <v>89.5</v>
      </c>
      <c r="AF270" s="12">
        <f t="shared" si="119"/>
        <v>359.5</v>
      </c>
      <c r="AG270" s="12">
        <f t="shared" si="120"/>
        <v>62.998487381746585</v>
      </c>
      <c r="AH270" s="48"/>
      <c r="AI270" s="27" t="str">
        <f>Z270</f>
        <v>N</v>
      </c>
      <c r="AJ270" s="54" t="s">
        <v>55</v>
      </c>
    </row>
    <row r="271" spans="1:38" s="54" customFormat="1" ht="12.75" customHeight="1">
      <c r="A271" s="89">
        <f>H271/100+161.38</f>
        <v>161.635</v>
      </c>
      <c r="B271" s="90" t="s">
        <v>49</v>
      </c>
      <c r="C271" s="58" t="s">
        <v>98</v>
      </c>
      <c r="D271" s="58">
        <v>5</v>
      </c>
      <c r="E271" s="55" t="s">
        <v>63</v>
      </c>
      <c r="F271" s="56">
        <v>21</v>
      </c>
      <c r="G271" s="57">
        <v>30</v>
      </c>
      <c r="H271" s="1">
        <f t="shared" si="121"/>
        <v>25.5</v>
      </c>
      <c r="I271" s="59"/>
      <c r="J271" s="55">
        <v>270</v>
      </c>
      <c r="K271" s="60">
        <v>56</v>
      </c>
      <c r="L271" s="60">
        <v>46</v>
      </c>
      <c r="M271" s="60">
        <v>0</v>
      </c>
      <c r="N271" s="60"/>
      <c r="O271" s="61"/>
      <c r="P271" s="38">
        <f t="shared" si="110"/>
        <v>-0.5963597219149837</v>
      </c>
      <c r="Q271" s="38">
        <f t="shared" si="111"/>
        <v>0.5758978892003681</v>
      </c>
      <c r="R271" s="38">
        <f t="shared" si="112"/>
        <v>0.3884480310972243</v>
      </c>
      <c r="S271" s="62">
        <f t="shared" si="113"/>
        <v>136</v>
      </c>
      <c r="T271" s="12">
        <f t="shared" si="114"/>
        <v>25.10557964926645</v>
      </c>
      <c r="U271" s="22">
        <f t="shared" si="115"/>
        <v>316</v>
      </c>
      <c r="V271" s="12">
        <f t="shared" si="116"/>
        <v>226</v>
      </c>
      <c r="W271" s="23">
        <f t="shared" si="117"/>
        <v>64.89442035073355</v>
      </c>
      <c r="X271" s="65"/>
      <c r="Y271" s="66"/>
      <c r="Z271" s="67"/>
      <c r="AA271" s="55"/>
      <c r="AB271" s="58"/>
      <c r="AC271" s="68">
        <v>212.5</v>
      </c>
      <c r="AD271" s="69">
        <v>63.2</v>
      </c>
      <c r="AE271" s="22">
        <f t="shared" si="118"/>
        <v>103.5</v>
      </c>
      <c r="AF271" s="12">
        <f t="shared" si="119"/>
        <v>13.5</v>
      </c>
      <c r="AG271" s="12">
        <f t="shared" si="120"/>
        <v>64.89442035073355</v>
      </c>
      <c r="AH271" s="48"/>
      <c r="AI271" s="27"/>
      <c r="AL271"/>
    </row>
    <row r="272" spans="1:36" s="54" customFormat="1" ht="12.75" customHeight="1">
      <c r="A272" s="89">
        <f>H272/100+161.38</f>
        <v>162.435</v>
      </c>
      <c r="B272" s="90" t="s">
        <v>49</v>
      </c>
      <c r="C272" s="58" t="s">
        <v>98</v>
      </c>
      <c r="D272" s="58">
        <v>5</v>
      </c>
      <c r="E272" s="55" t="s">
        <v>50</v>
      </c>
      <c r="F272" s="56">
        <v>103</v>
      </c>
      <c r="G272" s="57">
        <v>108</v>
      </c>
      <c r="H272" s="1">
        <f t="shared" si="121"/>
        <v>105.5</v>
      </c>
      <c r="I272" s="59"/>
      <c r="J272" s="55">
        <v>270</v>
      </c>
      <c r="K272" s="60">
        <v>45</v>
      </c>
      <c r="L272" s="60">
        <v>29</v>
      </c>
      <c r="M272" s="60">
        <v>0</v>
      </c>
      <c r="N272" s="60"/>
      <c r="O272" s="61"/>
      <c r="P272" s="38">
        <f t="shared" si="110"/>
        <v>-0.34281217006065984</v>
      </c>
      <c r="Q272" s="38">
        <f t="shared" si="111"/>
        <v>0.6184495258776589</v>
      </c>
      <c r="R272" s="38">
        <f t="shared" si="112"/>
        <v>0.6184495258776589</v>
      </c>
      <c r="S272" s="62">
        <f t="shared" si="113"/>
        <v>119</v>
      </c>
      <c r="T272" s="12">
        <f t="shared" si="114"/>
        <v>41.17358206748798</v>
      </c>
      <c r="U272" s="22">
        <f t="shared" si="115"/>
        <v>299</v>
      </c>
      <c r="V272" s="12">
        <f t="shared" si="116"/>
        <v>209</v>
      </c>
      <c r="W272" s="23">
        <f t="shared" si="117"/>
        <v>48.82641793251202</v>
      </c>
      <c r="X272" s="65"/>
      <c r="Y272" s="66"/>
      <c r="Z272" s="67" t="s">
        <v>51</v>
      </c>
      <c r="AA272" s="55"/>
      <c r="AB272" s="58"/>
      <c r="AC272" s="68">
        <v>212.5</v>
      </c>
      <c r="AD272" s="69">
        <v>63.2</v>
      </c>
      <c r="AE272" s="22">
        <f t="shared" si="118"/>
        <v>86.5</v>
      </c>
      <c r="AF272" s="12">
        <f t="shared" si="119"/>
        <v>356.5</v>
      </c>
      <c r="AG272" s="12">
        <f t="shared" si="120"/>
        <v>48.82641793251202</v>
      </c>
      <c r="AH272" s="48"/>
      <c r="AI272" s="27" t="str">
        <f>Z272</f>
        <v>N</v>
      </c>
      <c r="AJ272" s="54" t="s">
        <v>146</v>
      </c>
    </row>
    <row r="273" spans="1:39" s="54" customFormat="1" ht="12.75" customHeight="1">
      <c r="A273" s="89">
        <f>H273/100+162.95</f>
        <v>163.23999999999998</v>
      </c>
      <c r="B273" s="90" t="s">
        <v>49</v>
      </c>
      <c r="C273" s="58" t="s">
        <v>98</v>
      </c>
      <c r="D273" s="58">
        <v>6</v>
      </c>
      <c r="E273" s="55" t="s">
        <v>44</v>
      </c>
      <c r="F273" s="56">
        <v>28</v>
      </c>
      <c r="G273" s="57">
        <v>30</v>
      </c>
      <c r="H273" s="1">
        <f t="shared" si="121"/>
        <v>29</v>
      </c>
      <c r="I273" s="59"/>
      <c r="J273" s="55">
        <v>90</v>
      </c>
      <c r="K273" s="60">
        <v>13</v>
      </c>
      <c r="L273" s="60">
        <v>52</v>
      </c>
      <c r="M273" s="60">
        <v>0</v>
      </c>
      <c r="N273" s="60"/>
      <c r="O273" s="61"/>
      <c r="P273" s="38">
        <f t="shared" si="110"/>
        <v>-0.17726384985813573</v>
      </c>
      <c r="Q273" s="38">
        <f t="shared" si="111"/>
        <v>0.13849369799340627</v>
      </c>
      <c r="R273" s="38">
        <f t="shared" si="112"/>
        <v>-0.5998821115988352</v>
      </c>
      <c r="S273" s="62">
        <f t="shared" si="113"/>
        <v>142</v>
      </c>
      <c r="T273" s="12">
        <f t="shared" si="114"/>
        <v>-69.44435148270671</v>
      </c>
      <c r="U273" s="22">
        <f t="shared" si="115"/>
        <v>142</v>
      </c>
      <c r="V273" s="12">
        <f t="shared" si="116"/>
        <v>52</v>
      </c>
      <c r="W273" s="23">
        <f t="shared" si="117"/>
        <v>20.555648517293292</v>
      </c>
      <c r="X273" s="65"/>
      <c r="Y273" s="66"/>
      <c r="Z273" s="67"/>
      <c r="AA273" s="55"/>
      <c r="AB273" s="58"/>
      <c r="AC273" s="68">
        <v>212.5</v>
      </c>
      <c r="AD273" s="69">
        <v>63.2</v>
      </c>
      <c r="AE273" s="22">
        <f t="shared" si="118"/>
        <v>289.5</v>
      </c>
      <c r="AF273" s="12">
        <f t="shared" si="119"/>
        <v>199.5</v>
      </c>
      <c r="AG273" s="12">
        <f t="shared" si="120"/>
        <v>20.555648517293292</v>
      </c>
      <c r="AH273" s="48"/>
      <c r="AI273" s="27"/>
      <c r="AM273"/>
    </row>
    <row r="274" spans="1:35" s="54" customFormat="1" ht="12.75" customHeight="1">
      <c r="A274" s="89">
        <f>H274/100+162.95</f>
        <v>163.80499999999998</v>
      </c>
      <c r="B274" s="90" t="s">
        <v>49</v>
      </c>
      <c r="C274" s="58" t="s">
        <v>98</v>
      </c>
      <c r="D274" s="58">
        <v>6</v>
      </c>
      <c r="E274" s="55" t="s">
        <v>50</v>
      </c>
      <c r="F274" s="56">
        <v>81</v>
      </c>
      <c r="G274" s="57">
        <v>90</v>
      </c>
      <c r="H274" s="1">
        <f t="shared" si="121"/>
        <v>85.5</v>
      </c>
      <c r="I274" s="59"/>
      <c r="J274" s="55">
        <v>270</v>
      </c>
      <c r="K274" s="60">
        <v>47</v>
      </c>
      <c r="L274" s="60">
        <v>11</v>
      </c>
      <c r="M274" s="60">
        <v>0</v>
      </c>
      <c r="N274" s="60"/>
      <c r="O274" s="61"/>
      <c r="P274" s="38">
        <f t="shared" si="110"/>
        <v>-0.13954886507087122</v>
      </c>
      <c r="Q274" s="38">
        <f t="shared" si="111"/>
        <v>0.7179166742244495</v>
      </c>
      <c r="R274" s="38">
        <f t="shared" si="112"/>
        <v>0.6694681293040762</v>
      </c>
      <c r="S274" s="62">
        <f t="shared" si="113"/>
        <v>100.99999999999999</v>
      </c>
      <c r="T274" s="12">
        <f t="shared" si="114"/>
        <v>42.470429173597</v>
      </c>
      <c r="U274" s="22">
        <f t="shared" si="115"/>
        <v>281</v>
      </c>
      <c r="V274" s="12">
        <f t="shared" si="116"/>
        <v>191</v>
      </c>
      <c r="W274" s="23">
        <f t="shared" si="117"/>
        <v>47.529570826403</v>
      </c>
      <c r="X274" s="65"/>
      <c r="Y274" s="66"/>
      <c r="Z274" s="67"/>
      <c r="AA274" s="55"/>
      <c r="AB274" s="58"/>
      <c r="AC274" s="68">
        <v>212.5</v>
      </c>
      <c r="AD274" s="69">
        <v>63.2</v>
      </c>
      <c r="AE274" s="22">
        <f t="shared" si="118"/>
        <v>68.5</v>
      </c>
      <c r="AF274" s="12">
        <f t="shared" si="119"/>
        <v>338.5</v>
      </c>
      <c r="AG274" s="12">
        <f t="shared" si="120"/>
        <v>47.529570826403</v>
      </c>
      <c r="AH274" s="48"/>
      <c r="AI274" s="27"/>
    </row>
    <row r="275" spans="1:39" s="54" customFormat="1" ht="12.75" customHeight="1">
      <c r="A275" s="89">
        <f>H275/100+162.95</f>
        <v>164.01999999999998</v>
      </c>
      <c r="B275" s="90" t="s">
        <v>49</v>
      </c>
      <c r="C275" s="58" t="s">
        <v>98</v>
      </c>
      <c r="D275" s="58">
        <v>6</v>
      </c>
      <c r="E275" s="55" t="s">
        <v>44</v>
      </c>
      <c r="F275" s="56">
        <v>106</v>
      </c>
      <c r="G275" s="57">
        <v>108</v>
      </c>
      <c r="H275" s="1">
        <f t="shared" si="121"/>
        <v>107</v>
      </c>
      <c r="I275" s="59"/>
      <c r="J275" s="55">
        <v>90</v>
      </c>
      <c r="K275" s="60">
        <v>16</v>
      </c>
      <c r="L275" s="60">
        <v>56</v>
      </c>
      <c r="M275" s="60">
        <v>0</v>
      </c>
      <c r="N275" s="60"/>
      <c r="O275" s="61"/>
      <c r="P275" s="38">
        <f t="shared" si="110"/>
        <v>-0.2285137243720153</v>
      </c>
      <c r="Q275" s="38">
        <f t="shared" si="111"/>
        <v>0.1541344533043071</v>
      </c>
      <c r="R275" s="38">
        <f t="shared" si="112"/>
        <v>-0.5375307187469627</v>
      </c>
      <c r="S275" s="62">
        <f t="shared" si="113"/>
        <v>146</v>
      </c>
      <c r="T275" s="12">
        <f t="shared" si="114"/>
        <v>-62.85195754957448</v>
      </c>
      <c r="U275" s="22">
        <f t="shared" si="115"/>
        <v>146</v>
      </c>
      <c r="V275" s="12">
        <f t="shared" si="116"/>
        <v>56</v>
      </c>
      <c r="W275" s="23">
        <f t="shared" si="117"/>
        <v>27.14804245042552</v>
      </c>
      <c r="X275" s="65"/>
      <c r="Y275" s="66"/>
      <c r="Z275" s="67"/>
      <c r="AA275" s="55"/>
      <c r="AB275" s="58"/>
      <c r="AC275" s="68">
        <v>212.5</v>
      </c>
      <c r="AD275" s="69">
        <v>63.2</v>
      </c>
      <c r="AE275" s="22">
        <f t="shared" si="118"/>
        <v>293.5</v>
      </c>
      <c r="AF275" s="12">
        <f t="shared" si="119"/>
        <v>203.5</v>
      </c>
      <c r="AG275" s="12">
        <f t="shared" si="120"/>
        <v>27.14804245042552</v>
      </c>
      <c r="AH275" s="48"/>
      <c r="AI275" s="27"/>
      <c r="AM275"/>
    </row>
    <row r="276" spans="1:36" s="54" customFormat="1" ht="12.75" customHeight="1">
      <c r="A276" s="89">
        <f>H276/100+164.302</f>
        <v>164.712</v>
      </c>
      <c r="B276" s="90" t="s">
        <v>49</v>
      </c>
      <c r="C276" s="58" t="s">
        <v>98</v>
      </c>
      <c r="D276" s="58">
        <v>7</v>
      </c>
      <c r="E276" s="55" t="s">
        <v>50</v>
      </c>
      <c r="F276" s="56">
        <v>36</v>
      </c>
      <c r="G276" s="57">
        <v>46</v>
      </c>
      <c r="H276" s="1">
        <f t="shared" si="121"/>
        <v>41</v>
      </c>
      <c r="I276" s="59"/>
      <c r="J276" s="55">
        <v>270</v>
      </c>
      <c r="K276" s="60">
        <v>62</v>
      </c>
      <c r="L276" s="60">
        <v>24</v>
      </c>
      <c r="M276" s="60">
        <v>0</v>
      </c>
      <c r="N276" s="60"/>
      <c r="O276" s="61"/>
      <c r="P276" s="38">
        <f t="shared" si="110"/>
        <v>-0.35912713993129824</v>
      </c>
      <c r="Q276" s="38">
        <f t="shared" si="111"/>
        <v>0.8066127627927412</v>
      </c>
      <c r="R276" s="38">
        <f t="shared" si="112"/>
        <v>0.42888361367542366</v>
      </c>
      <c r="S276" s="62">
        <f t="shared" si="113"/>
        <v>114</v>
      </c>
      <c r="T276" s="12">
        <f t="shared" si="114"/>
        <v>25.907734195849557</v>
      </c>
      <c r="U276" s="22">
        <f t="shared" si="115"/>
        <v>294</v>
      </c>
      <c r="V276" s="12">
        <f t="shared" si="116"/>
        <v>204</v>
      </c>
      <c r="W276" s="23">
        <f t="shared" si="117"/>
        <v>64.09226580415044</v>
      </c>
      <c r="X276" s="65"/>
      <c r="Y276" s="66"/>
      <c r="Z276" s="67" t="s">
        <v>51</v>
      </c>
      <c r="AA276" s="55"/>
      <c r="AB276" s="58"/>
      <c r="AC276" s="68">
        <v>212.5</v>
      </c>
      <c r="AD276" s="69">
        <v>63.2</v>
      </c>
      <c r="AE276" s="22">
        <f t="shared" si="118"/>
        <v>81.5</v>
      </c>
      <c r="AF276" s="12">
        <f t="shared" si="119"/>
        <v>351.5</v>
      </c>
      <c r="AG276" s="12">
        <f t="shared" si="120"/>
        <v>64.09226580415044</v>
      </c>
      <c r="AH276" s="48"/>
      <c r="AI276" s="27" t="str">
        <f>Z276</f>
        <v>N</v>
      </c>
      <c r="AJ276" s="54" t="s">
        <v>147</v>
      </c>
    </row>
    <row r="277" spans="1:35" s="54" customFormat="1" ht="12.75" customHeight="1">
      <c r="A277" s="89">
        <f>H277/100+164.302</f>
        <v>164.84199999999998</v>
      </c>
      <c r="B277" s="90" t="s">
        <v>49</v>
      </c>
      <c r="C277" s="58" t="s">
        <v>98</v>
      </c>
      <c r="D277" s="58">
        <v>7</v>
      </c>
      <c r="E277" s="55" t="s">
        <v>50</v>
      </c>
      <c r="F277" s="56">
        <v>50</v>
      </c>
      <c r="G277" s="57">
        <v>58</v>
      </c>
      <c r="H277" s="1">
        <f t="shared" si="121"/>
        <v>54</v>
      </c>
      <c r="I277" s="59"/>
      <c r="J277" s="55">
        <v>270</v>
      </c>
      <c r="K277" s="60">
        <v>56</v>
      </c>
      <c r="L277" s="60">
        <v>25</v>
      </c>
      <c r="M277" s="60">
        <v>0</v>
      </c>
      <c r="N277" s="60"/>
      <c r="O277" s="61"/>
      <c r="P277" s="38">
        <f t="shared" si="110"/>
        <v>-0.35036641783094075</v>
      </c>
      <c r="Q277" s="38">
        <f t="shared" si="111"/>
        <v>0.751363207752596</v>
      </c>
      <c r="R277" s="38">
        <f t="shared" si="112"/>
        <v>0.5068008828711715</v>
      </c>
      <c r="S277" s="62">
        <f t="shared" si="113"/>
        <v>115</v>
      </c>
      <c r="T277" s="12">
        <f t="shared" si="114"/>
        <v>31.437958641090546</v>
      </c>
      <c r="U277" s="22">
        <f t="shared" si="115"/>
        <v>295</v>
      </c>
      <c r="V277" s="12">
        <f t="shared" si="116"/>
        <v>205</v>
      </c>
      <c r="W277" s="23">
        <f t="shared" si="117"/>
        <v>58.562041358909454</v>
      </c>
      <c r="X277" s="65"/>
      <c r="Y277" s="66"/>
      <c r="Z277" s="67"/>
      <c r="AA277" s="55"/>
      <c r="AB277" s="58"/>
      <c r="AC277" s="68">
        <v>212.5</v>
      </c>
      <c r="AD277" s="69">
        <v>63.2</v>
      </c>
      <c r="AE277" s="22">
        <f t="shared" si="118"/>
        <v>82.5</v>
      </c>
      <c r="AF277" s="12">
        <f t="shared" si="119"/>
        <v>352.5</v>
      </c>
      <c r="AG277" s="12">
        <f t="shared" si="120"/>
        <v>58.562041358909454</v>
      </c>
      <c r="AH277" s="48"/>
      <c r="AI277" s="27"/>
    </row>
    <row r="278" spans="1:38" s="54" customFormat="1" ht="12.75" customHeight="1">
      <c r="A278" s="89">
        <f>H278/100+164.302</f>
        <v>165.207</v>
      </c>
      <c r="B278" s="90" t="s">
        <v>49</v>
      </c>
      <c r="C278" s="58" t="s">
        <v>98</v>
      </c>
      <c r="D278" s="58">
        <v>7</v>
      </c>
      <c r="E278" s="55" t="s">
        <v>63</v>
      </c>
      <c r="F278" s="56">
        <v>88</v>
      </c>
      <c r="G278" s="57">
        <v>93</v>
      </c>
      <c r="H278" s="1">
        <f t="shared" si="121"/>
        <v>90.5</v>
      </c>
      <c r="I278" s="59"/>
      <c r="J278" s="55">
        <v>90</v>
      </c>
      <c r="K278" s="60">
        <v>24</v>
      </c>
      <c r="L278" s="60">
        <v>306</v>
      </c>
      <c r="M278" s="60">
        <v>0</v>
      </c>
      <c r="N278" s="60"/>
      <c r="O278" s="61"/>
      <c r="P278" s="38">
        <f t="shared" si="110"/>
        <v>0.32905685648333965</v>
      </c>
      <c r="Q278" s="38">
        <f t="shared" si="111"/>
        <v>0.2390738003669027</v>
      </c>
      <c r="R278" s="38">
        <f t="shared" si="112"/>
        <v>-0.5369685473010988</v>
      </c>
      <c r="S278" s="62">
        <f t="shared" si="113"/>
        <v>35.999999999999986</v>
      </c>
      <c r="T278" s="12">
        <f t="shared" si="114"/>
        <v>-52.85722595614304</v>
      </c>
      <c r="U278" s="22">
        <f t="shared" si="115"/>
        <v>35.999999999999986</v>
      </c>
      <c r="V278" s="12">
        <f t="shared" si="116"/>
        <v>306</v>
      </c>
      <c r="W278" s="23">
        <f t="shared" si="117"/>
        <v>37.14277404385696</v>
      </c>
      <c r="X278" s="65"/>
      <c r="Y278" s="66"/>
      <c r="Z278" s="67"/>
      <c r="AA278" s="55"/>
      <c r="AB278" s="58"/>
      <c r="AC278" s="68">
        <v>212.5</v>
      </c>
      <c r="AD278" s="69">
        <v>63.2</v>
      </c>
      <c r="AE278" s="22">
        <f t="shared" si="118"/>
        <v>183.5</v>
      </c>
      <c r="AF278" s="12">
        <f t="shared" si="119"/>
        <v>93.5</v>
      </c>
      <c r="AG278" s="12">
        <f t="shared" si="120"/>
        <v>37.14277404385696</v>
      </c>
      <c r="AH278" s="48"/>
      <c r="AI278" s="27"/>
      <c r="AL278"/>
    </row>
    <row r="279" spans="1:35" s="54" customFormat="1" ht="12.75" customHeight="1">
      <c r="A279" s="89">
        <f>H279/100+168</f>
        <v>168.585</v>
      </c>
      <c r="B279" s="90" t="s">
        <v>49</v>
      </c>
      <c r="C279" s="58" t="s">
        <v>99</v>
      </c>
      <c r="D279" s="58">
        <v>1</v>
      </c>
      <c r="E279" s="55" t="s">
        <v>50</v>
      </c>
      <c r="F279" s="56">
        <v>55</v>
      </c>
      <c r="G279" s="57">
        <v>62</v>
      </c>
      <c r="H279" s="1">
        <f t="shared" si="121"/>
        <v>58.5</v>
      </c>
      <c r="I279" s="59"/>
      <c r="J279" s="55">
        <v>270</v>
      </c>
      <c r="K279" s="60">
        <v>44</v>
      </c>
      <c r="L279" s="60">
        <v>180</v>
      </c>
      <c r="M279" s="60">
        <v>44</v>
      </c>
      <c r="N279" s="60"/>
      <c r="O279" s="61"/>
      <c r="P279" s="38">
        <f t="shared" si="110"/>
        <v>-0.49969541350954794</v>
      </c>
      <c r="Q279" s="38">
        <f t="shared" si="111"/>
        <v>-0.49969541350954777</v>
      </c>
      <c r="R279" s="38">
        <f t="shared" si="112"/>
        <v>-0.5174497483512506</v>
      </c>
      <c r="S279" s="62">
        <f t="shared" si="113"/>
        <v>225</v>
      </c>
      <c r="T279" s="12">
        <f t="shared" si="114"/>
        <v>-36.21272611990892</v>
      </c>
      <c r="U279" s="22">
        <f t="shared" si="115"/>
        <v>225</v>
      </c>
      <c r="V279" s="12">
        <f t="shared" si="116"/>
        <v>135</v>
      </c>
      <c r="W279" s="23">
        <f t="shared" si="117"/>
        <v>53.78727388009108</v>
      </c>
      <c r="X279" s="65"/>
      <c r="Y279" s="66"/>
      <c r="Z279" s="67"/>
      <c r="AA279" s="55"/>
      <c r="AB279" s="58"/>
      <c r="AC279" s="68">
        <v>122.4</v>
      </c>
      <c r="AD279" s="69">
        <v>70.9</v>
      </c>
      <c r="AE279" s="22">
        <f t="shared" si="118"/>
        <v>102.6</v>
      </c>
      <c r="AF279" s="12">
        <f t="shared" si="119"/>
        <v>12.599999999999994</v>
      </c>
      <c r="AG279" s="12">
        <f t="shared" si="120"/>
        <v>53.78727388009108</v>
      </c>
      <c r="AH279" s="48"/>
      <c r="AI279" s="27"/>
    </row>
    <row r="280" spans="1:35" s="54" customFormat="1" ht="12.75" customHeight="1">
      <c r="A280" s="89">
        <f>H280/100+169.109</f>
        <v>169.87900000000002</v>
      </c>
      <c r="B280" s="90" t="s">
        <v>49</v>
      </c>
      <c r="C280" s="58" t="s">
        <v>99</v>
      </c>
      <c r="D280" s="58">
        <v>2</v>
      </c>
      <c r="E280" s="55" t="s">
        <v>50</v>
      </c>
      <c r="F280" s="56">
        <v>75</v>
      </c>
      <c r="G280" s="57">
        <v>79</v>
      </c>
      <c r="H280" s="1">
        <f t="shared" si="121"/>
        <v>77</v>
      </c>
      <c r="I280" s="59"/>
      <c r="J280" s="55">
        <v>270</v>
      </c>
      <c r="K280" s="60">
        <v>37</v>
      </c>
      <c r="L280" s="60">
        <v>180</v>
      </c>
      <c r="M280" s="60">
        <v>53</v>
      </c>
      <c r="N280" s="60"/>
      <c r="O280" s="61"/>
      <c r="P280" s="38">
        <f t="shared" si="110"/>
        <v>-0.6378186779084996</v>
      </c>
      <c r="Q280" s="38">
        <f t="shared" si="111"/>
        <v>-0.36218132209150034</v>
      </c>
      <c r="R280" s="38">
        <f t="shared" si="112"/>
        <v>-0.4806308479691595</v>
      </c>
      <c r="S280" s="62">
        <f t="shared" si="113"/>
        <v>209.58980398000088</v>
      </c>
      <c r="T280" s="12">
        <f t="shared" si="114"/>
        <v>-33.23592964896953</v>
      </c>
      <c r="U280" s="22">
        <f t="shared" si="115"/>
        <v>209.58980398000088</v>
      </c>
      <c r="V280" s="12">
        <f t="shared" si="116"/>
        <v>119.58980398000088</v>
      </c>
      <c r="W280" s="23">
        <f t="shared" si="117"/>
        <v>56.76407035103047</v>
      </c>
      <c r="X280" s="65"/>
      <c r="Y280" s="66"/>
      <c r="Z280" s="67"/>
      <c r="AA280" s="55"/>
      <c r="AB280" s="58"/>
      <c r="AC280" s="68">
        <v>122.4</v>
      </c>
      <c r="AD280" s="69">
        <v>70.9</v>
      </c>
      <c r="AE280" s="22">
        <f t="shared" si="118"/>
        <v>87.18980398000087</v>
      </c>
      <c r="AF280" s="12">
        <f t="shared" si="119"/>
        <v>357.1898039800009</v>
      </c>
      <c r="AG280" s="12">
        <f t="shared" si="120"/>
        <v>56.76407035103047</v>
      </c>
      <c r="AH280" s="48"/>
      <c r="AI280" s="27"/>
    </row>
    <row r="281" spans="1:35" s="54" customFormat="1" ht="12.75" customHeight="1">
      <c r="A281" s="89">
        <f>H281/100+169.109</f>
        <v>169.8865</v>
      </c>
      <c r="B281" s="90" t="s">
        <v>49</v>
      </c>
      <c r="C281" s="58" t="s">
        <v>99</v>
      </c>
      <c r="D281" s="58">
        <v>2</v>
      </c>
      <c r="E281" s="55" t="s">
        <v>50</v>
      </c>
      <c r="F281" s="56">
        <v>75.5</v>
      </c>
      <c r="G281" s="57">
        <v>80</v>
      </c>
      <c r="H281" s="1">
        <f t="shared" si="121"/>
        <v>77.75</v>
      </c>
      <c r="I281" s="59"/>
      <c r="J281" s="55">
        <v>90</v>
      </c>
      <c r="K281" s="60">
        <v>39</v>
      </c>
      <c r="L281" s="60">
        <v>0</v>
      </c>
      <c r="M281" s="60">
        <v>54</v>
      </c>
      <c r="N281" s="60"/>
      <c r="O281" s="61"/>
      <c r="P281" s="38">
        <f t="shared" si="110"/>
        <v>0.6287242899285473</v>
      </c>
      <c r="Q281" s="38">
        <f t="shared" si="111"/>
        <v>0.3699052448260265</v>
      </c>
      <c r="R281" s="38">
        <f t="shared" si="112"/>
        <v>-0.45679493502306223</v>
      </c>
      <c r="S281" s="62">
        <f t="shared" si="113"/>
        <v>30.470109759257003</v>
      </c>
      <c r="T281" s="12">
        <f t="shared" si="114"/>
        <v>-32.054901721669914</v>
      </c>
      <c r="U281" s="22">
        <f t="shared" si="115"/>
        <v>30.470109759257003</v>
      </c>
      <c r="V281" s="12">
        <f t="shared" si="116"/>
        <v>300.470109759257</v>
      </c>
      <c r="W281" s="23">
        <f t="shared" si="117"/>
        <v>57.945098278330086</v>
      </c>
      <c r="X281" s="65"/>
      <c r="Y281" s="66"/>
      <c r="Z281" s="67"/>
      <c r="AA281" s="55"/>
      <c r="AB281" s="58"/>
      <c r="AC281" s="68">
        <v>122.4</v>
      </c>
      <c r="AD281" s="69">
        <v>70.9</v>
      </c>
      <c r="AE281" s="22">
        <f t="shared" si="118"/>
        <v>268.070109759257</v>
      </c>
      <c r="AF281" s="12">
        <f t="shared" si="119"/>
        <v>178.07010975925698</v>
      </c>
      <c r="AG281" s="12">
        <f t="shared" si="120"/>
        <v>57.945098278330086</v>
      </c>
      <c r="AH281" s="48"/>
      <c r="AI281" s="27"/>
    </row>
    <row r="282" spans="1:35" s="54" customFormat="1" ht="12.75" customHeight="1">
      <c r="A282" s="89">
        <f>H282/100+169.109</f>
        <v>170.2465</v>
      </c>
      <c r="B282" s="90" t="s">
        <v>49</v>
      </c>
      <c r="C282" s="58" t="s">
        <v>99</v>
      </c>
      <c r="D282" s="58">
        <v>2</v>
      </c>
      <c r="E282" s="55" t="s">
        <v>50</v>
      </c>
      <c r="F282" s="56">
        <v>110.5</v>
      </c>
      <c r="G282" s="57">
        <v>117</v>
      </c>
      <c r="H282" s="1">
        <f t="shared" si="121"/>
        <v>113.75</v>
      </c>
      <c r="I282" s="59"/>
      <c r="J282" s="55">
        <v>270</v>
      </c>
      <c r="K282" s="60">
        <v>42</v>
      </c>
      <c r="L282" s="60">
        <v>180</v>
      </c>
      <c r="M282" s="60">
        <v>48</v>
      </c>
      <c r="N282" s="60"/>
      <c r="O282" s="61"/>
      <c r="P282" s="38">
        <f t="shared" si="110"/>
        <v>-0.5522642316338267</v>
      </c>
      <c r="Q282" s="38">
        <f t="shared" si="111"/>
        <v>-0.4477357683661732</v>
      </c>
      <c r="R282" s="38">
        <f t="shared" si="112"/>
        <v>-0.4972609476841367</v>
      </c>
      <c r="S282" s="62">
        <f t="shared" si="113"/>
        <v>219.0326308072963</v>
      </c>
      <c r="T282" s="12">
        <f t="shared" si="114"/>
        <v>-34.96980885830819</v>
      </c>
      <c r="U282" s="22">
        <f t="shared" si="115"/>
        <v>219.0326308072963</v>
      </c>
      <c r="V282" s="12">
        <f t="shared" si="116"/>
        <v>129.0326308072963</v>
      </c>
      <c r="W282" s="23">
        <f t="shared" si="117"/>
        <v>55.03019114169181</v>
      </c>
      <c r="X282" s="65"/>
      <c r="Y282" s="66"/>
      <c r="Z282" s="67"/>
      <c r="AA282" s="55"/>
      <c r="AB282" s="58"/>
      <c r="AC282" s="68">
        <v>122.4</v>
      </c>
      <c r="AD282" s="69">
        <v>70.9</v>
      </c>
      <c r="AE282" s="22">
        <f t="shared" si="118"/>
        <v>96.6326308072963</v>
      </c>
      <c r="AF282" s="12">
        <f t="shared" si="119"/>
        <v>6.6326308072962945</v>
      </c>
      <c r="AG282" s="12">
        <f t="shared" si="120"/>
        <v>55.03019114169181</v>
      </c>
      <c r="AH282" s="48"/>
      <c r="AI282" s="27"/>
    </row>
    <row r="283" spans="1:38" s="54" customFormat="1" ht="12.75" customHeight="1">
      <c r="A283" s="89">
        <f>H283/100+170.411</f>
        <v>170.746</v>
      </c>
      <c r="B283" s="90" t="s">
        <v>49</v>
      </c>
      <c r="C283" s="58" t="s">
        <v>99</v>
      </c>
      <c r="D283" s="58">
        <v>4</v>
      </c>
      <c r="E283" s="55" t="s">
        <v>63</v>
      </c>
      <c r="F283" s="56">
        <v>28</v>
      </c>
      <c r="G283" s="57">
        <v>39</v>
      </c>
      <c r="H283" s="1">
        <f t="shared" si="121"/>
        <v>33.5</v>
      </c>
      <c r="I283" s="59"/>
      <c r="J283" s="55">
        <v>270</v>
      </c>
      <c r="K283" s="60">
        <v>60</v>
      </c>
      <c r="L283" s="60">
        <v>180</v>
      </c>
      <c r="M283" s="60">
        <v>60</v>
      </c>
      <c r="N283" s="60"/>
      <c r="O283" s="61"/>
      <c r="P283" s="38">
        <f t="shared" si="110"/>
        <v>-0.43301270189221946</v>
      </c>
      <c r="Q283" s="38">
        <f t="shared" si="111"/>
        <v>-0.43301270189221935</v>
      </c>
      <c r="R283" s="38">
        <f t="shared" si="112"/>
        <v>-0.2500000000000001</v>
      </c>
      <c r="S283" s="62">
        <f t="shared" si="113"/>
        <v>225</v>
      </c>
      <c r="T283" s="12">
        <f t="shared" si="114"/>
        <v>-22.207654298596495</v>
      </c>
      <c r="U283" s="22">
        <f t="shared" si="115"/>
        <v>225</v>
      </c>
      <c r="V283" s="12">
        <f t="shared" si="116"/>
        <v>135</v>
      </c>
      <c r="W283" s="23">
        <f t="shared" si="117"/>
        <v>67.7923457014035</v>
      </c>
      <c r="X283" s="65"/>
      <c r="Y283" s="66"/>
      <c r="Z283" s="67"/>
      <c r="AA283" s="55"/>
      <c r="AB283" s="58"/>
      <c r="AC283" s="68">
        <v>122.4</v>
      </c>
      <c r="AD283" s="69">
        <v>70.9</v>
      </c>
      <c r="AE283" s="22">
        <f t="shared" si="118"/>
        <v>102.6</v>
      </c>
      <c r="AF283" s="12">
        <f t="shared" si="119"/>
        <v>12.599999999999994</v>
      </c>
      <c r="AG283" s="12">
        <f t="shared" si="120"/>
        <v>67.7923457014035</v>
      </c>
      <c r="AH283" s="48"/>
      <c r="AI283" s="27"/>
      <c r="AL283"/>
    </row>
    <row r="284" spans="1:39" s="54" customFormat="1" ht="12.75" customHeight="1">
      <c r="A284" s="89">
        <f>H284/100+171.54</f>
        <v>171.65</v>
      </c>
      <c r="B284" s="90" t="s">
        <v>49</v>
      </c>
      <c r="C284" s="58" t="s">
        <v>99</v>
      </c>
      <c r="D284" s="58">
        <v>5</v>
      </c>
      <c r="E284" s="55" t="s">
        <v>44</v>
      </c>
      <c r="F284" s="56">
        <v>9.5</v>
      </c>
      <c r="G284" s="57">
        <v>12.5</v>
      </c>
      <c r="H284" s="1">
        <f t="shared" si="121"/>
        <v>11</v>
      </c>
      <c r="I284" s="59"/>
      <c r="J284" s="55">
        <v>90</v>
      </c>
      <c r="K284" s="60">
        <v>26</v>
      </c>
      <c r="L284" s="60">
        <v>0</v>
      </c>
      <c r="M284" s="60">
        <v>10</v>
      </c>
      <c r="N284" s="60"/>
      <c r="O284" s="61"/>
      <c r="P284" s="38">
        <f t="shared" si="110"/>
        <v>0.15607394823773696</v>
      </c>
      <c r="Q284" s="38">
        <f t="shared" si="111"/>
        <v>0.4317113040547361</v>
      </c>
      <c r="R284" s="38">
        <f t="shared" si="112"/>
        <v>-0.8851393451566332</v>
      </c>
      <c r="S284" s="62">
        <f t="shared" si="113"/>
        <v>70.12386639020895</v>
      </c>
      <c r="T284" s="12">
        <f t="shared" si="114"/>
        <v>-62.587512472399396</v>
      </c>
      <c r="U284" s="22">
        <f t="shared" si="115"/>
        <v>70.12386639020895</v>
      </c>
      <c r="V284" s="12">
        <f t="shared" si="116"/>
        <v>340.12386639020895</v>
      </c>
      <c r="W284" s="23">
        <f t="shared" si="117"/>
        <v>27.412487527600604</v>
      </c>
      <c r="X284" s="65"/>
      <c r="Y284" s="66"/>
      <c r="Z284" s="67"/>
      <c r="AA284" s="55"/>
      <c r="AB284" s="58"/>
      <c r="AC284" s="68">
        <v>122.4</v>
      </c>
      <c r="AD284" s="69">
        <v>70.9</v>
      </c>
      <c r="AE284" s="22">
        <f t="shared" si="118"/>
        <v>307.72386639020897</v>
      </c>
      <c r="AF284" s="12">
        <f t="shared" si="119"/>
        <v>217.72386639020897</v>
      </c>
      <c r="AG284" s="12">
        <f t="shared" si="120"/>
        <v>27.412487527600604</v>
      </c>
      <c r="AH284" s="48"/>
      <c r="AI284" s="27"/>
      <c r="AM284"/>
    </row>
    <row r="285" spans="1:35" s="54" customFormat="1" ht="12.75" customHeight="1">
      <c r="A285" s="89">
        <f>H285/100+171.54</f>
        <v>172.095</v>
      </c>
      <c r="B285" s="90" t="s">
        <v>49</v>
      </c>
      <c r="C285" s="58" t="s">
        <v>99</v>
      </c>
      <c r="D285" s="58">
        <v>5</v>
      </c>
      <c r="E285" s="55" t="s">
        <v>50</v>
      </c>
      <c r="F285" s="56">
        <v>53</v>
      </c>
      <c r="G285" s="57">
        <v>58</v>
      </c>
      <c r="H285" s="1">
        <f t="shared" si="121"/>
        <v>55.5</v>
      </c>
      <c r="I285" s="59"/>
      <c r="J285" s="55">
        <v>270</v>
      </c>
      <c r="K285" s="60">
        <v>43</v>
      </c>
      <c r="L285" s="60">
        <v>180</v>
      </c>
      <c r="M285" s="60">
        <v>51</v>
      </c>
      <c r="N285" s="60"/>
      <c r="O285" s="61"/>
      <c r="P285" s="38">
        <f t="shared" si="110"/>
        <v>-0.5683685756099448</v>
      </c>
      <c r="Q285" s="38">
        <f t="shared" si="111"/>
        <v>-0.4291954746498793</v>
      </c>
      <c r="R285" s="38">
        <f t="shared" si="112"/>
        <v>-0.4602557974987226</v>
      </c>
      <c r="S285" s="62">
        <f t="shared" si="113"/>
        <v>217.05776104309274</v>
      </c>
      <c r="T285" s="12">
        <f t="shared" si="114"/>
        <v>-32.87178356018019</v>
      </c>
      <c r="U285" s="22">
        <f t="shared" si="115"/>
        <v>217.05776104309274</v>
      </c>
      <c r="V285" s="12">
        <f t="shared" si="116"/>
        <v>127.05776104309274</v>
      </c>
      <c r="W285" s="23">
        <f t="shared" si="117"/>
        <v>57.12821643981981</v>
      </c>
      <c r="X285" s="65"/>
      <c r="Y285" s="66"/>
      <c r="Z285" s="67"/>
      <c r="AA285" s="55"/>
      <c r="AB285" s="58"/>
      <c r="AC285" s="68">
        <v>122.4</v>
      </c>
      <c r="AD285" s="69">
        <v>70.9</v>
      </c>
      <c r="AE285" s="22">
        <f t="shared" si="118"/>
        <v>94.65776104309273</v>
      </c>
      <c r="AF285" s="12">
        <f t="shared" si="119"/>
        <v>4.657761043092734</v>
      </c>
      <c r="AG285" s="12">
        <f t="shared" si="120"/>
        <v>57.12821643981981</v>
      </c>
      <c r="AH285" s="48"/>
      <c r="AI285" s="27"/>
    </row>
    <row r="286" spans="1:35" s="54" customFormat="1" ht="12.75" customHeight="1">
      <c r="A286" s="89">
        <f>H286/100+171.54</f>
        <v>172.1075</v>
      </c>
      <c r="B286" s="90" t="s">
        <v>49</v>
      </c>
      <c r="C286" s="58" t="s">
        <v>99</v>
      </c>
      <c r="D286" s="58">
        <v>5</v>
      </c>
      <c r="E286" s="55" t="s">
        <v>50</v>
      </c>
      <c r="F286" s="56">
        <v>54.5</v>
      </c>
      <c r="G286" s="57">
        <v>59</v>
      </c>
      <c r="H286" s="1">
        <f t="shared" si="121"/>
        <v>56.75</v>
      </c>
      <c r="I286" s="59"/>
      <c r="J286" s="55">
        <v>90</v>
      </c>
      <c r="K286" s="60">
        <v>42</v>
      </c>
      <c r="L286" s="60">
        <v>0</v>
      </c>
      <c r="M286" s="60">
        <v>44</v>
      </c>
      <c r="N286" s="60"/>
      <c r="O286" s="61"/>
      <c r="P286" s="38">
        <f t="shared" si="110"/>
        <v>0.5162317734811626</v>
      </c>
      <c r="Q286" s="38">
        <f t="shared" si="111"/>
        <v>0.48133227677866164</v>
      </c>
      <c r="R286" s="38">
        <f t="shared" si="112"/>
        <v>-0.5345736503816105</v>
      </c>
      <c r="S286" s="62">
        <f t="shared" si="113"/>
        <v>42.99634050739491</v>
      </c>
      <c r="T286" s="12">
        <f t="shared" si="114"/>
        <v>-37.139706686683006</v>
      </c>
      <c r="U286" s="22">
        <f t="shared" si="115"/>
        <v>42.99634050739491</v>
      </c>
      <c r="V286" s="12">
        <f t="shared" si="116"/>
        <v>312.9963405073949</v>
      </c>
      <c r="W286" s="23">
        <f t="shared" si="117"/>
        <v>52.860293313316994</v>
      </c>
      <c r="X286" s="65"/>
      <c r="Y286" s="66"/>
      <c r="Z286" s="67"/>
      <c r="AA286" s="55"/>
      <c r="AB286" s="58"/>
      <c r="AC286" s="68">
        <v>122.4</v>
      </c>
      <c r="AD286" s="69">
        <v>70.9</v>
      </c>
      <c r="AE286" s="22">
        <f t="shared" si="118"/>
        <v>280.59634050739487</v>
      </c>
      <c r="AF286" s="12">
        <f t="shared" si="119"/>
        <v>190.59634050739487</v>
      </c>
      <c r="AG286" s="12">
        <f t="shared" si="120"/>
        <v>52.860293313316994</v>
      </c>
      <c r="AH286" s="48"/>
      <c r="AI286" s="27"/>
    </row>
    <row r="287" spans="1:35" s="54" customFormat="1" ht="12.75" customHeight="1">
      <c r="A287" s="89">
        <f>H287/100+172.648</f>
        <v>173.3305</v>
      </c>
      <c r="B287" s="90" t="s">
        <v>49</v>
      </c>
      <c r="C287" s="58" t="s">
        <v>99</v>
      </c>
      <c r="D287" s="58">
        <v>6</v>
      </c>
      <c r="E287" s="55" t="s">
        <v>50</v>
      </c>
      <c r="F287" s="56">
        <v>64</v>
      </c>
      <c r="G287" s="57">
        <v>72.5</v>
      </c>
      <c r="H287" s="1">
        <f t="shared" si="121"/>
        <v>68.25</v>
      </c>
      <c r="I287" s="59"/>
      <c r="J287" s="55">
        <v>270</v>
      </c>
      <c r="K287" s="60">
        <v>54</v>
      </c>
      <c r="L287" s="60">
        <v>180</v>
      </c>
      <c r="M287" s="60">
        <v>36</v>
      </c>
      <c r="N287" s="60"/>
      <c r="O287" s="61"/>
      <c r="P287" s="38">
        <f t="shared" si="110"/>
        <v>-0.34549150281252633</v>
      </c>
      <c r="Q287" s="38">
        <f t="shared" si="111"/>
        <v>-0.6545084971874736</v>
      </c>
      <c r="R287" s="38">
        <f t="shared" si="112"/>
        <v>-0.4755282581475768</v>
      </c>
      <c r="S287" s="62">
        <f t="shared" si="113"/>
        <v>242.17203785051385</v>
      </c>
      <c r="T287" s="12">
        <f t="shared" si="114"/>
        <v>-32.721566148523294</v>
      </c>
      <c r="U287" s="22">
        <f t="shared" si="115"/>
        <v>242.17203785051385</v>
      </c>
      <c r="V287" s="12">
        <f t="shared" si="116"/>
        <v>152.17203785051385</v>
      </c>
      <c r="W287" s="23">
        <f t="shared" si="117"/>
        <v>57.278433851476706</v>
      </c>
      <c r="X287" s="65"/>
      <c r="Y287" s="66"/>
      <c r="Z287" s="67"/>
      <c r="AA287" s="55"/>
      <c r="AB287" s="58"/>
      <c r="AC287" s="68">
        <v>122.4</v>
      </c>
      <c r="AD287" s="69">
        <v>70.9</v>
      </c>
      <c r="AE287" s="22">
        <f t="shared" si="118"/>
        <v>119.77203785051384</v>
      </c>
      <c r="AF287" s="12">
        <f t="shared" si="119"/>
        <v>29.77203785051384</v>
      </c>
      <c r="AG287" s="12">
        <f t="shared" si="120"/>
        <v>57.278433851476706</v>
      </c>
      <c r="AH287" s="48"/>
      <c r="AI287" s="27"/>
    </row>
    <row r="288" spans="1:35" s="54" customFormat="1" ht="12.75" customHeight="1">
      <c r="A288" s="89">
        <f>H288/100+172.648</f>
        <v>173.7655</v>
      </c>
      <c r="B288" s="90" t="s">
        <v>49</v>
      </c>
      <c r="C288" s="58" t="s">
        <v>99</v>
      </c>
      <c r="D288" s="58">
        <v>6</v>
      </c>
      <c r="E288" s="55" t="s">
        <v>50</v>
      </c>
      <c r="F288" s="56">
        <v>108.5</v>
      </c>
      <c r="G288" s="57">
        <v>115</v>
      </c>
      <c r="H288" s="1">
        <f t="shared" si="121"/>
        <v>111.75</v>
      </c>
      <c r="I288" s="59"/>
      <c r="J288" s="55">
        <v>90</v>
      </c>
      <c r="K288" s="60">
        <v>50</v>
      </c>
      <c r="L288" s="60">
        <v>0</v>
      </c>
      <c r="M288" s="60">
        <v>34</v>
      </c>
      <c r="N288" s="60"/>
      <c r="O288" s="61"/>
      <c r="P288" s="38">
        <f t="shared" si="110"/>
        <v>0.35944226977563715</v>
      </c>
      <c r="Q288" s="38">
        <f t="shared" si="111"/>
        <v>0.6350796255926362</v>
      </c>
      <c r="R288" s="38">
        <f t="shared" si="112"/>
        <v>-0.5328950796029861</v>
      </c>
      <c r="S288" s="62">
        <f t="shared" si="113"/>
        <v>60.49101343296568</v>
      </c>
      <c r="T288" s="12">
        <f t="shared" si="114"/>
        <v>-36.13879960290882</v>
      </c>
      <c r="U288" s="22">
        <f t="shared" si="115"/>
        <v>60.49101343296568</v>
      </c>
      <c r="V288" s="12">
        <f t="shared" si="116"/>
        <v>330.4910134329657</v>
      </c>
      <c r="W288" s="23">
        <f t="shared" si="117"/>
        <v>53.86120039709118</v>
      </c>
      <c r="X288" s="65"/>
      <c r="Y288" s="66"/>
      <c r="Z288" s="67"/>
      <c r="AA288" s="55"/>
      <c r="AB288" s="58"/>
      <c r="AC288" s="68">
        <v>122.4</v>
      </c>
      <c r="AD288" s="69">
        <v>70.9</v>
      </c>
      <c r="AE288" s="22">
        <f t="shared" si="118"/>
        <v>298.09101343296567</v>
      </c>
      <c r="AF288" s="12">
        <f t="shared" si="119"/>
        <v>208.09101343296567</v>
      </c>
      <c r="AG288" s="12">
        <f t="shared" si="120"/>
        <v>53.86120039709118</v>
      </c>
      <c r="AH288" s="48"/>
      <c r="AI288" s="27"/>
    </row>
    <row r="289" spans="1:35" s="54" customFormat="1" ht="12.75" customHeight="1">
      <c r="A289" s="89">
        <f>H289/100+175</f>
        <v>175.12</v>
      </c>
      <c r="B289" s="90" t="s">
        <v>49</v>
      </c>
      <c r="C289" s="58" t="s">
        <v>100</v>
      </c>
      <c r="D289" s="58">
        <v>1</v>
      </c>
      <c r="E289" s="55" t="s">
        <v>50</v>
      </c>
      <c r="F289" s="56">
        <v>9.5</v>
      </c>
      <c r="G289" s="57">
        <v>14.5</v>
      </c>
      <c r="H289" s="1">
        <f t="shared" si="121"/>
        <v>12</v>
      </c>
      <c r="I289" s="59"/>
      <c r="J289" s="55">
        <v>270</v>
      </c>
      <c r="K289" s="60">
        <v>27</v>
      </c>
      <c r="L289" s="60">
        <v>180</v>
      </c>
      <c r="M289" s="60">
        <v>48</v>
      </c>
      <c r="N289" s="60"/>
      <c r="O289" s="61"/>
      <c r="P289" s="38">
        <f aca="true" t="shared" si="122" ref="P289:P320">COS(K289*PI()/180)*SIN(J289*PI()/180)*(SIN((M289)*PI()/180))-(COS((M289)*PI()/180)*SIN(L289*PI()/180))*(SIN(K289*PI()/180))</f>
        <v>-0.6621468879171842</v>
      </c>
      <c r="Q289" s="38">
        <f aca="true" t="shared" si="123" ref="Q289:Q320">(SIN(K289*PI()/180))*(COS((M289)*PI()/180)*COS(L289*PI()/180))-(SIN((M289)*PI()/180))*(COS(K289*PI()/180)*COS(J289*PI()/180))</f>
        <v>-0.30377893837188386</v>
      </c>
      <c r="R289" s="38">
        <f aca="true" t="shared" si="124" ref="R289:R320">(COS(K289*PI()/180)*COS(J289*PI()/180))*(COS((M289)*PI()/180)*SIN(L289*PI()/180))-(COS(K289*PI()/180)*SIN(J289*PI()/180))*(COS((M289)*PI()/180)*COS(L289*PI()/180))</f>
        <v>-0.5961997357998613</v>
      </c>
      <c r="S289" s="62">
        <f aca="true" t="shared" si="125" ref="S289:S320">IF(P289=0,IF(Q289&gt;=0,90,270),IF(P289&gt;0,IF(Q289&gt;=0,ATAN(Q289/P289)*180/PI(),ATAN(Q289/P289)*180/PI()+360),ATAN(Q289/P289)*180/PI()+180))</f>
        <v>204.64465253774796</v>
      </c>
      <c r="T289" s="12">
        <f aca="true" t="shared" si="126" ref="T289:T320">ASIN(R289/SQRT(P289^2+Q289^2+R289^2))*180/PI()</f>
        <v>-39.29646566724673</v>
      </c>
      <c r="U289" s="22">
        <f aca="true" t="shared" si="127" ref="U289:U320">IF(R289&lt;0,S289,IF(S289+180&gt;=360,S289-180,S289+180))</f>
        <v>204.64465253774796</v>
      </c>
      <c r="V289" s="12">
        <f aca="true" t="shared" si="128" ref="V289:V320">IF(U289-90&lt;0,U289+270,U289-90)</f>
        <v>114.64465253774796</v>
      </c>
      <c r="W289" s="23">
        <f aca="true" t="shared" si="129" ref="W289:W320">IF(R289&lt;0,90+T289,90-T289)</f>
        <v>50.70353433275327</v>
      </c>
      <c r="X289" s="65"/>
      <c r="Y289" s="66"/>
      <c r="Z289" s="67"/>
      <c r="AA289" s="55"/>
      <c r="AB289" s="58"/>
      <c r="AC289" s="31">
        <v>13.8</v>
      </c>
      <c r="AD289" s="32">
        <v>78.7</v>
      </c>
      <c r="AE289" s="22">
        <f aca="true" t="shared" si="130" ref="AE289:AE320">IF(AD289&gt;=0,IF(U289&gt;=AC289,U289-AC289,U289-AC289+360),IF((U289-AC289-180)&lt;0,IF(U289-AC289+180&lt;0,U289-AC289+540,U289-AC289+180),U289-AC289-180))</f>
        <v>190.84465253774795</v>
      </c>
      <c r="AF289" s="12">
        <f aca="true" t="shared" si="131" ref="AF289:AF320">IF(AE289-90&lt;0,AE289+270,AE289-90)</f>
        <v>100.84465253774795</v>
      </c>
      <c r="AG289" s="12">
        <f aca="true" t="shared" si="132" ref="AG289:AG309">W289</f>
        <v>50.70353433275327</v>
      </c>
      <c r="AH289" s="48"/>
      <c r="AI289" s="27"/>
    </row>
    <row r="290" spans="1:35" s="54" customFormat="1" ht="12.75" customHeight="1">
      <c r="A290" s="89">
        <f>H290/100+175</f>
        <v>175.1425</v>
      </c>
      <c r="B290" s="90" t="s">
        <v>49</v>
      </c>
      <c r="C290" s="58" t="s">
        <v>100</v>
      </c>
      <c r="D290" s="58">
        <v>1</v>
      </c>
      <c r="E290" s="55" t="s">
        <v>50</v>
      </c>
      <c r="F290" s="56">
        <v>10.5</v>
      </c>
      <c r="G290" s="57">
        <v>18</v>
      </c>
      <c r="H290" s="1">
        <f t="shared" si="121"/>
        <v>14.25</v>
      </c>
      <c r="I290" s="59"/>
      <c r="J290" s="55">
        <v>90</v>
      </c>
      <c r="K290" s="60">
        <v>37</v>
      </c>
      <c r="L290" s="60">
        <v>90</v>
      </c>
      <c r="M290" s="60">
        <v>42</v>
      </c>
      <c r="N290" s="60"/>
      <c r="O290" s="61"/>
      <c r="P290" s="38">
        <f t="shared" si="122"/>
        <v>0.0871557427476582</v>
      </c>
      <c r="Q290" s="38">
        <f t="shared" si="123"/>
        <v>-5.338936178185328E-18</v>
      </c>
      <c r="R290" s="38">
        <f t="shared" si="124"/>
        <v>0</v>
      </c>
      <c r="S290" s="62">
        <f t="shared" si="125"/>
        <v>360</v>
      </c>
      <c r="T290" s="12">
        <f t="shared" si="126"/>
        <v>0</v>
      </c>
      <c r="U290" s="22">
        <f t="shared" si="127"/>
        <v>180</v>
      </c>
      <c r="V290" s="12">
        <f t="shared" si="128"/>
        <v>90</v>
      </c>
      <c r="W290" s="23">
        <f t="shared" si="129"/>
        <v>90</v>
      </c>
      <c r="X290" s="65"/>
      <c r="Y290" s="66"/>
      <c r="Z290" s="67"/>
      <c r="AA290" s="55"/>
      <c r="AB290" s="58"/>
      <c r="AC290" s="31">
        <v>13.8</v>
      </c>
      <c r="AD290" s="32">
        <v>78.7</v>
      </c>
      <c r="AE290" s="22">
        <f t="shared" si="130"/>
        <v>166.2</v>
      </c>
      <c r="AF290" s="12">
        <f t="shared" si="131"/>
        <v>76.19999999999999</v>
      </c>
      <c r="AG290" s="12">
        <f t="shared" si="132"/>
        <v>90</v>
      </c>
      <c r="AH290" s="48"/>
      <c r="AI290" s="27"/>
    </row>
    <row r="291" spans="1:35" s="54" customFormat="1" ht="12.75" customHeight="1">
      <c r="A291" s="89">
        <f>H291/100+175.379</f>
        <v>176.04899999999998</v>
      </c>
      <c r="B291" s="90" t="s">
        <v>49</v>
      </c>
      <c r="C291" s="58" t="s">
        <v>100</v>
      </c>
      <c r="D291" s="58">
        <v>2</v>
      </c>
      <c r="E291" s="55" t="s">
        <v>50</v>
      </c>
      <c r="F291" s="56">
        <v>64</v>
      </c>
      <c r="G291" s="57">
        <v>70</v>
      </c>
      <c r="H291" s="1">
        <f t="shared" si="121"/>
        <v>67</v>
      </c>
      <c r="I291" s="59"/>
      <c r="J291" s="55">
        <v>270</v>
      </c>
      <c r="K291" s="60">
        <v>59</v>
      </c>
      <c r="L291" s="60">
        <v>180</v>
      </c>
      <c r="M291" s="60">
        <v>54</v>
      </c>
      <c r="N291" s="60"/>
      <c r="O291" s="61"/>
      <c r="P291" s="38">
        <f t="shared" si="122"/>
        <v>-0.4166745553523913</v>
      </c>
      <c r="Q291" s="38">
        <f t="shared" si="123"/>
        <v>-0.5038302981000491</v>
      </c>
      <c r="R291" s="38">
        <f t="shared" si="124"/>
        <v>-0.30273178480123597</v>
      </c>
      <c r="S291" s="62">
        <f t="shared" si="125"/>
        <v>230.40878584784247</v>
      </c>
      <c r="T291" s="12">
        <f t="shared" si="126"/>
        <v>-24.845542068933526</v>
      </c>
      <c r="U291" s="22">
        <f t="shared" si="127"/>
        <v>230.40878584784247</v>
      </c>
      <c r="V291" s="12">
        <f t="shared" si="128"/>
        <v>140.40878584784247</v>
      </c>
      <c r="W291" s="23">
        <f t="shared" si="129"/>
        <v>65.15445793106647</v>
      </c>
      <c r="X291" s="65"/>
      <c r="Y291" s="66"/>
      <c r="Z291" s="67"/>
      <c r="AA291" s="55"/>
      <c r="AB291" s="58"/>
      <c r="AC291" s="31">
        <v>13.8</v>
      </c>
      <c r="AD291" s="32">
        <v>78.7</v>
      </c>
      <c r="AE291" s="22">
        <f t="shared" si="130"/>
        <v>216.60878584784246</v>
      </c>
      <c r="AF291" s="12">
        <f t="shared" si="131"/>
        <v>126.60878584784246</v>
      </c>
      <c r="AG291" s="12">
        <f t="shared" si="132"/>
        <v>65.15445793106647</v>
      </c>
      <c r="AH291" s="48"/>
      <c r="AI291" s="27"/>
    </row>
    <row r="292" spans="1:39" s="54" customFormat="1" ht="12.75" customHeight="1">
      <c r="A292" s="89">
        <f>H292/100+175.379</f>
        <v>176.6565</v>
      </c>
      <c r="B292" s="90" t="s">
        <v>49</v>
      </c>
      <c r="C292" s="58" t="s">
        <v>100</v>
      </c>
      <c r="D292" s="58">
        <v>2</v>
      </c>
      <c r="E292" s="55" t="s">
        <v>44</v>
      </c>
      <c r="F292" s="56">
        <v>127</v>
      </c>
      <c r="G292" s="57">
        <v>128.5</v>
      </c>
      <c r="H292" s="1">
        <f t="shared" si="121"/>
        <v>127.75</v>
      </c>
      <c r="I292" s="59"/>
      <c r="J292" s="55">
        <v>270</v>
      </c>
      <c r="K292" s="60">
        <v>12</v>
      </c>
      <c r="L292" s="60">
        <v>0</v>
      </c>
      <c r="M292" s="60">
        <v>12</v>
      </c>
      <c r="N292" s="60"/>
      <c r="O292" s="61"/>
      <c r="P292" s="38">
        <f t="shared" si="122"/>
        <v>-0.2033683215379001</v>
      </c>
      <c r="Q292" s="38">
        <f t="shared" si="123"/>
        <v>0.20336832153790013</v>
      </c>
      <c r="R292" s="38">
        <f t="shared" si="124"/>
        <v>0.9567727288213006</v>
      </c>
      <c r="S292" s="62">
        <f t="shared" si="125"/>
        <v>135</v>
      </c>
      <c r="T292" s="12">
        <f t="shared" si="126"/>
        <v>73.26920245272461</v>
      </c>
      <c r="U292" s="22">
        <f t="shared" si="127"/>
        <v>315</v>
      </c>
      <c r="V292" s="12">
        <f t="shared" si="128"/>
        <v>225</v>
      </c>
      <c r="W292" s="23">
        <f t="shared" si="129"/>
        <v>16.730797547275387</v>
      </c>
      <c r="X292" s="65"/>
      <c r="Y292" s="66"/>
      <c r="Z292" s="67"/>
      <c r="AA292" s="55"/>
      <c r="AB292" s="58"/>
      <c r="AC292" s="31">
        <v>13.8</v>
      </c>
      <c r="AD292" s="32">
        <v>78.7</v>
      </c>
      <c r="AE292" s="22">
        <f t="shared" si="130"/>
        <v>301.2</v>
      </c>
      <c r="AF292" s="12">
        <f t="shared" si="131"/>
        <v>211.2</v>
      </c>
      <c r="AG292" s="12">
        <f t="shared" si="132"/>
        <v>16.730797547275387</v>
      </c>
      <c r="AH292" s="48"/>
      <c r="AI292" s="27"/>
      <c r="AM292"/>
    </row>
    <row r="293" spans="1:39" s="54" customFormat="1" ht="12.75" customHeight="1">
      <c r="A293" s="89">
        <f>H293/100+175.379</f>
        <v>176.6865</v>
      </c>
      <c r="B293" s="90" t="s">
        <v>49</v>
      </c>
      <c r="C293" s="58" t="s">
        <v>100</v>
      </c>
      <c r="D293" s="58">
        <v>2</v>
      </c>
      <c r="E293" s="55" t="s">
        <v>44</v>
      </c>
      <c r="F293" s="56">
        <v>130</v>
      </c>
      <c r="G293" s="57">
        <v>131.5</v>
      </c>
      <c r="H293" s="1">
        <f t="shared" si="121"/>
        <v>130.75</v>
      </c>
      <c r="I293" s="59"/>
      <c r="J293" s="55">
        <v>270</v>
      </c>
      <c r="K293" s="60">
        <v>15</v>
      </c>
      <c r="L293" s="60">
        <v>0</v>
      </c>
      <c r="M293" s="60">
        <v>14</v>
      </c>
      <c r="N293" s="60"/>
      <c r="O293" s="61"/>
      <c r="P293" s="38">
        <f t="shared" si="122"/>
        <v>-0.23367860690452677</v>
      </c>
      <c r="Q293" s="38">
        <f t="shared" si="123"/>
        <v>0.2511310133418103</v>
      </c>
      <c r="R293" s="38">
        <f t="shared" si="124"/>
        <v>0.9372337011478935</v>
      </c>
      <c r="S293" s="62">
        <f t="shared" si="125"/>
        <v>132.9383296379492</v>
      </c>
      <c r="T293" s="12">
        <f t="shared" si="126"/>
        <v>69.89701371234179</v>
      </c>
      <c r="U293" s="22">
        <f t="shared" si="127"/>
        <v>312.9383296379492</v>
      </c>
      <c r="V293" s="12">
        <f t="shared" si="128"/>
        <v>222.9383296379492</v>
      </c>
      <c r="W293" s="23">
        <f t="shared" si="129"/>
        <v>20.10298628765821</v>
      </c>
      <c r="X293" s="65"/>
      <c r="Y293" s="66"/>
      <c r="Z293" s="67"/>
      <c r="AA293" s="55"/>
      <c r="AB293" s="58"/>
      <c r="AC293" s="31">
        <v>13.8</v>
      </c>
      <c r="AD293" s="32">
        <v>78.7</v>
      </c>
      <c r="AE293" s="22">
        <f t="shared" si="130"/>
        <v>299.1383296379492</v>
      </c>
      <c r="AF293" s="12">
        <f t="shared" si="131"/>
        <v>209.1383296379492</v>
      </c>
      <c r="AG293" s="12">
        <f t="shared" si="132"/>
        <v>20.10298628765821</v>
      </c>
      <c r="AH293" s="48"/>
      <c r="AI293" s="27"/>
      <c r="AM293"/>
    </row>
    <row r="294" spans="1:38" s="54" customFormat="1" ht="12.75" customHeight="1">
      <c r="A294" s="89">
        <f>H294/100+176.707</f>
        <v>177.607</v>
      </c>
      <c r="B294" s="90" t="s">
        <v>49</v>
      </c>
      <c r="C294" s="58" t="s">
        <v>100</v>
      </c>
      <c r="D294" s="58">
        <v>3</v>
      </c>
      <c r="E294" s="55" t="s">
        <v>63</v>
      </c>
      <c r="F294" s="56">
        <v>71</v>
      </c>
      <c r="G294" s="57">
        <v>109</v>
      </c>
      <c r="H294" s="1">
        <f t="shared" si="121"/>
        <v>90</v>
      </c>
      <c r="I294" s="59"/>
      <c r="J294" s="55">
        <v>90</v>
      </c>
      <c r="K294" s="60">
        <v>79</v>
      </c>
      <c r="L294" s="60">
        <v>180</v>
      </c>
      <c r="M294" s="60">
        <v>74</v>
      </c>
      <c r="N294" s="60"/>
      <c r="O294" s="61"/>
      <c r="P294" s="38">
        <f t="shared" si="122"/>
        <v>0.1834173784959444</v>
      </c>
      <c r="Q294" s="38">
        <f t="shared" si="123"/>
        <v>-0.27057312124360244</v>
      </c>
      <c r="R294" s="38">
        <f t="shared" si="124"/>
        <v>0.05259408695168886</v>
      </c>
      <c r="S294" s="62">
        <f t="shared" si="125"/>
        <v>304.1327445716046</v>
      </c>
      <c r="T294" s="12">
        <f t="shared" si="126"/>
        <v>9.140343213175742</v>
      </c>
      <c r="U294" s="22">
        <f t="shared" si="127"/>
        <v>124.13274457160458</v>
      </c>
      <c r="V294" s="12">
        <f t="shared" si="128"/>
        <v>34.132744571604576</v>
      </c>
      <c r="W294" s="23">
        <f t="shared" si="129"/>
        <v>80.85965678682426</v>
      </c>
      <c r="X294" s="65"/>
      <c r="Y294" s="66"/>
      <c r="Z294" s="67"/>
      <c r="AA294" s="55"/>
      <c r="AB294" s="58"/>
      <c r="AC294" s="31">
        <v>13.8</v>
      </c>
      <c r="AD294" s="32">
        <v>78.7</v>
      </c>
      <c r="AE294" s="22">
        <f t="shared" si="130"/>
        <v>110.33274457160458</v>
      </c>
      <c r="AF294" s="12">
        <f t="shared" si="131"/>
        <v>20.33274457160458</v>
      </c>
      <c r="AG294" s="12">
        <f t="shared" si="132"/>
        <v>80.85965678682426</v>
      </c>
      <c r="AH294" s="48"/>
      <c r="AI294" s="27"/>
      <c r="AL294"/>
    </row>
    <row r="295" spans="1:35" s="54" customFormat="1" ht="12.75" customHeight="1">
      <c r="A295" s="89">
        <f>H295/100+176.707</f>
        <v>177.7445</v>
      </c>
      <c r="B295" s="90" t="s">
        <v>49</v>
      </c>
      <c r="C295" s="58" t="s">
        <v>100</v>
      </c>
      <c r="D295" s="58">
        <v>3</v>
      </c>
      <c r="E295" s="55" t="s">
        <v>50</v>
      </c>
      <c r="F295" s="56">
        <v>99</v>
      </c>
      <c r="G295" s="57">
        <v>108.5</v>
      </c>
      <c r="H295" s="1">
        <f t="shared" si="121"/>
        <v>103.75</v>
      </c>
      <c r="I295" s="59"/>
      <c r="J295" s="55">
        <v>270</v>
      </c>
      <c r="K295" s="60">
        <v>54</v>
      </c>
      <c r="L295" s="60">
        <v>180</v>
      </c>
      <c r="M295" s="60">
        <v>48</v>
      </c>
      <c r="N295" s="60"/>
      <c r="O295" s="61"/>
      <c r="P295" s="38">
        <f t="shared" si="122"/>
        <v>-0.4368095687330761</v>
      </c>
      <c r="Q295" s="38">
        <f t="shared" si="123"/>
        <v>-0.5413380320007295</v>
      </c>
      <c r="R295" s="38">
        <f t="shared" si="124"/>
        <v>-0.393305102275257</v>
      </c>
      <c r="S295" s="62">
        <f t="shared" si="125"/>
        <v>231.0996896078898</v>
      </c>
      <c r="T295" s="12">
        <f t="shared" si="126"/>
        <v>-29.48487168971967</v>
      </c>
      <c r="U295" s="22">
        <f t="shared" si="127"/>
        <v>231.0996896078898</v>
      </c>
      <c r="V295" s="12">
        <f t="shared" si="128"/>
        <v>141.0996896078898</v>
      </c>
      <c r="W295" s="23">
        <f t="shared" si="129"/>
        <v>60.51512831028033</v>
      </c>
      <c r="X295" s="65"/>
      <c r="Y295" s="66"/>
      <c r="Z295" s="67"/>
      <c r="AA295" s="55"/>
      <c r="AB295" s="58"/>
      <c r="AC295" s="31">
        <v>13.8</v>
      </c>
      <c r="AD295" s="32">
        <v>78.7</v>
      </c>
      <c r="AE295" s="22">
        <f t="shared" si="130"/>
        <v>217.29968960788977</v>
      </c>
      <c r="AF295" s="12">
        <f t="shared" si="131"/>
        <v>127.29968960788977</v>
      </c>
      <c r="AG295" s="12">
        <f t="shared" si="132"/>
        <v>60.51512831028033</v>
      </c>
      <c r="AH295" s="48"/>
      <c r="AI295" s="27"/>
    </row>
    <row r="296" spans="1:35" s="54" customFormat="1" ht="12.75" customHeight="1">
      <c r="A296" s="89">
        <f>H296/100+178.017</f>
        <v>179.112</v>
      </c>
      <c r="B296" s="90" t="s">
        <v>49</v>
      </c>
      <c r="C296" s="58" t="s">
        <v>100</v>
      </c>
      <c r="D296" s="58">
        <v>5</v>
      </c>
      <c r="E296" s="55" t="s">
        <v>50</v>
      </c>
      <c r="F296" s="56">
        <v>106</v>
      </c>
      <c r="G296" s="57">
        <v>113</v>
      </c>
      <c r="H296" s="1">
        <f t="shared" si="121"/>
        <v>109.5</v>
      </c>
      <c r="I296" s="59"/>
      <c r="J296" s="55">
        <v>90</v>
      </c>
      <c r="K296" s="60">
        <v>49</v>
      </c>
      <c r="L296" s="60">
        <v>0</v>
      </c>
      <c r="M296" s="60">
        <v>56</v>
      </c>
      <c r="N296" s="60"/>
      <c r="O296" s="61"/>
      <c r="P296" s="38">
        <f t="shared" si="122"/>
        <v>0.5438975848471079</v>
      </c>
      <c r="Q296" s="38">
        <f t="shared" si="123"/>
        <v>0.42202824144196033</v>
      </c>
      <c r="R296" s="38">
        <f t="shared" si="124"/>
        <v>-0.3668635532694006</v>
      </c>
      <c r="S296" s="62">
        <f t="shared" si="125"/>
        <v>37.80907708353727</v>
      </c>
      <c r="T296" s="12">
        <f t="shared" si="126"/>
        <v>-28.053188558201764</v>
      </c>
      <c r="U296" s="22">
        <f t="shared" si="127"/>
        <v>37.80907708353727</v>
      </c>
      <c r="V296" s="12">
        <f t="shared" si="128"/>
        <v>307.80907708353726</v>
      </c>
      <c r="W296" s="23">
        <f t="shared" si="129"/>
        <v>61.94681144179823</v>
      </c>
      <c r="X296" s="65"/>
      <c r="Y296" s="66"/>
      <c r="Z296" s="67"/>
      <c r="AA296" s="55"/>
      <c r="AB296" s="58"/>
      <c r="AC296" s="31">
        <v>13.8</v>
      </c>
      <c r="AD296" s="32">
        <v>78.7</v>
      </c>
      <c r="AE296" s="22">
        <f t="shared" si="130"/>
        <v>24.009077083537267</v>
      </c>
      <c r="AF296" s="12">
        <f t="shared" si="131"/>
        <v>294.00907708353725</v>
      </c>
      <c r="AG296" s="12">
        <f t="shared" si="132"/>
        <v>61.94681144179823</v>
      </c>
      <c r="AH296" s="48"/>
      <c r="AI296" s="27"/>
    </row>
    <row r="297" spans="1:35" s="54" customFormat="1" ht="12.75" customHeight="1">
      <c r="A297" s="89">
        <f>H297/100+178.017</f>
        <v>179.1195</v>
      </c>
      <c r="B297" s="90" t="s">
        <v>49</v>
      </c>
      <c r="C297" s="58" t="s">
        <v>100</v>
      </c>
      <c r="D297" s="58">
        <v>5</v>
      </c>
      <c r="E297" s="55" t="s">
        <v>50</v>
      </c>
      <c r="F297" s="56">
        <v>103</v>
      </c>
      <c r="G297" s="57">
        <v>117.5</v>
      </c>
      <c r="H297" s="1">
        <f t="shared" si="121"/>
        <v>110.25</v>
      </c>
      <c r="I297" s="59"/>
      <c r="J297" s="55">
        <v>270</v>
      </c>
      <c r="K297" s="60">
        <v>54</v>
      </c>
      <c r="L297" s="60">
        <v>180</v>
      </c>
      <c r="M297" s="60">
        <v>42</v>
      </c>
      <c r="N297" s="60"/>
      <c r="O297" s="61"/>
      <c r="P297" s="38">
        <f t="shared" si="122"/>
        <v>-0.39330510227525706</v>
      </c>
      <c r="Q297" s="38">
        <f t="shared" si="123"/>
        <v>-0.6012167930930162</v>
      </c>
      <c r="R297" s="38">
        <f t="shared" si="124"/>
        <v>-0.4368095687330761</v>
      </c>
      <c r="S297" s="62">
        <f t="shared" si="125"/>
        <v>236.80801744509233</v>
      </c>
      <c r="T297" s="12">
        <f t="shared" si="126"/>
        <v>-31.29962317446693</v>
      </c>
      <c r="U297" s="22">
        <f t="shared" si="127"/>
        <v>236.80801744509233</v>
      </c>
      <c r="V297" s="12">
        <f t="shared" si="128"/>
        <v>146.80801744509233</v>
      </c>
      <c r="W297" s="23">
        <f t="shared" si="129"/>
        <v>58.70037682553307</v>
      </c>
      <c r="X297" s="65"/>
      <c r="Y297" s="66"/>
      <c r="Z297" s="67"/>
      <c r="AA297" s="55"/>
      <c r="AB297" s="58"/>
      <c r="AC297" s="31">
        <v>13.8</v>
      </c>
      <c r="AD297" s="32">
        <v>78.7</v>
      </c>
      <c r="AE297" s="22">
        <f t="shared" si="130"/>
        <v>223.00801744509232</v>
      </c>
      <c r="AF297" s="12">
        <f t="shared" si="131"/>
        <v>133.00801744509232</v>
      </c>
      <c r="AG297" s="12">
        <f t="shared" si="132"/>
        <v>58.70037682553307</v>
      </c>
      <c r="AH297" s="48"/>
      <c r="AI297" s="27"/>
    </row>
    <row r="298" spans="1:35" s="54" customFormat="1" ht="12.75" customHeight="1">
      <c r="A298" s="89">
        <f>H298/100+179.354</f>
        <v>179.524</v>
      </c>
      <c r="B298" s="90" t="s">
        <v>49</v>
      </c>
      <c r="C298" s="58" t="s">
        <v>100</v>
      </c>
      <c r="D298" s="58">
        <v>6</v>
      </c>
      <c r="E298" s="55" t="s">
        <v>50</v>
      </c>
      <c r="F298" s="56">
        <v>13</v>
      </c>
      <c r="G298" s="57">
        <v>21</v>
      </c>
      <c r="H298" s="1">
        <f t="shared" si="121"/>
        <v>17</v>
      </c>
      <c r="I298" s="59"/>
      <c r="J298" s="55">
        <v>270</v>
      </c>
      <c r="K298" s="60">
        <v>47</v>
      </c>
      <c r="L298" s="60">
        <v>180</v>
      </c>
      <c r="M298" s="60">
        <v>31</v>
      </c>
      <c r="N298" s="60"/>
      <c r="O298" s="61"/>
      <c r="P298" s="38">
        <f t="shared" si="122"/>
        <v>-0.35125512245840323</v>
      </c>
      <c r="Q298" s="38">
        <f t="shared" si="123"/>
        <v>-0.6268924782754023</v>
      </c>
      <c r="R298" s="38">
        <f t="shared" si="124"/>
        <v>-0.5845866933780391</v>
      </c>
      <c r="S298" s="62">
        <f t="shared" si="125"/>
        <v>240.73758464866427</v>
      </c>
      <c r="T298" s="12">
        <f t="shared" si="126"/>
        <v>-39.128938224031906</v>
      </c>
      <c r="U298" s="22">
        <f t="shared" si="127"/>
        <v>240.73758464866427</v>
      </c>
      <c r="V298" s="12">
        <f t="shared" si="128"/>
        <v>150.73758464866427</v>
      </c>
      <c r="W298" s="23">
        <f t="shared" si="129"/>
        <v>50.871061775968094</v>
      </c>
      <c r="X298" s="65"/>
      <c r="Y298" s="66"/>
      <c r="Z298" s="67"/>
      <c r="AA298" s="55"/>
      <c r="AB298" s="58"/>
      <c r="AC298" s="31">
        <v>13.8</v>
      </c>
      <c r="AD298" s="32">
        <v>78.7</v>
      </c>
      <c r="AE298" s="22">
        <f t="shared" si="130"/>
        <v>226.93758464866426</v>
      </c>
      <c r="AF298" s="12">
        <f t="shared" si="131"/>
        <v>136.93758464866426</v>
      </c>
      <c r="AG298" s="12">
        <f t="shared" si="132"/>
        <v>50.871061775968094</v>
      </c>
      <c r="AH298" s="48"/>
      <c r="AI298" s="27"/>
    </row>
    <row r="299" spans="1:39" s="54" customFormat="1" ht="12.75" customHeight="1">
      <c r="A299" s="89">
        <f>H299/100+179.354</f>
        <v>180.25650000000002</v>
      </c>
      <c r="B299" s="90" t="s">
        <v>49</v>
      </c>
      <c r="C299" s="58" t="s">
        <v>100</v>
      </c>
      <c r="D299" s="58">
        <v>6</v>
      </c>
      <c r="E299" s="55" t="s">
        <v>44</v>
      </c>
      <c r="F299" s="56">
        <v>88.5</v>
      </c>
      <c r="G299" s="57">
        <v>92</v>
      </c>
      <c r="H299" s="1">
        <f t="shared" si="121"/>
        <v>90.25</v>
      </c>
      <c r="I299" s="59"/>
      <c r="J299" s="55">
        <v>270</v>
      </c>
      <c r="K299" s="60">
        <v>23</v>
      </c>
      <c r="L299" s="60">
        <v>0</v>
      </c>
      <c r="M299" s="60">
        <v>19</v>
      </c>
      <c r="N299" s="60"/>
      <c r="O299" s="61"/>
      <c r="P299" s="38">
        <f t="shared" si="122"/>
        <v>-0.29968706630736647</v>
      </c>
      <c r="Q299" s="38">
        <f t="shared" si="123"/>
        <v>0.36944354005149177</v>
      </c>
      <c r="R299" s="38">
        <f t="shared" si="124"/>
        <v>0.8703544378686093</v>
      </c>
      <c r="S299" s="62">
        <f t="shared" si="125"/>
        <v>129.04844679278023</v>
      </c>
      <c r="T299" s="12">
        <f t="shared" si="126"/>
        <v>61.340242334700484</v>
      </c>
      <c r="U299" s="22">
        <f t="shared" si="127"/>
        <v>309.0484467927802</v>
      </c>
      <c r="V299" s="12">
        <f t="shared" si="128"/>
        <v>219.04844679278023</v>
      </c>
      <c r="W299" s="23">
        <f t="shared" si="129"/>
        <v>28.659757665299516</v>
      </c>
      <c r="X299" s="65"/>
      <c r="Y299" s="66"/>
      <c r="Z299" s="67"/>
      <c r="AA299" s="55"/>
      <c r="AB299" s="58"/>
      <c r="AC299" s="31">
        <v>13.8</v>
      </c>
      <c r="AD299" s="32">
        <v>78.7</v>
      </c>
      <c r="AE299" s="22">
        <f t="shared" si="130"/>
        <v>295.2484467927802</v>
      </c>
      <c r="AF299" s="12">
        <f t="shared" si="131"/>
        <v>205.24844679278021</v>
      </c>
      <c r="AG299" s="12">
        <f t="shared" si="132"/>
        <v>28.659757665299516</v>
      </c>
      <c r="AH299" s="48"/>
      <c r="AI299" s="27"/>
      <c r="AM299"/>
    </row>
    <row r="300" spans="1:35" s="54" customFormat="1" ht="12.75" customHeight="1">
      <c r="A300" s="89">
        <f>H300/100+180.5</f>
        <v>180.96</v>
      </c>
      <c r="B300" s="90" t="s">
        <v>49</v>
      </c>
      <c r="C300" s="58" t="s">
        <v>101</v>
      </c>
      <c r="D300" s="58">
        <v>1</v>
      </c>
      <c r="E300" s="55" t="s">
        <v>50</v>
      </c>
      <c r="F300" s="56">
        <v>44</v>
      </c>
      <c r="G300" s="57">
        <v>48</v>
      </c>
      <c r="H300" s="1">
        <f t="shared" si="121"/>
        <v>46</v>
      </c>
      <c r="I300" s="59"/>
      <c r="J300" s="55">
        <v>270</v>
      </c>
      <c r="K300" s="60">
        <v>30</v>
      </c>
      <c r="L300" s="60">
        <v>180</v>
      </c>
      <c r="M300" s="60">
        <v>47</v>
      </c>
      <c r="N300" s="60"/>
      <c r="O300" s="61"/>
      <c r="P300" s="38">
        <f t="shared" si="122"/>
        <v>-0.633370884753986</v>
      </c>
      <c r="Q300" s="38">
        <f t="shared" si="123"/>
        <v>-0.34099918003124907</v>
      </c>
      <c r="R300" s="38">
        <f t="shared" si="124"/>
        <v>-0.5906279051534502</v>
      </c>
      <c r="S300" s="62">
        <f t="shared" si="125"/>
        <v>208.29748199598032</v>
      </c>
      <c r="T300" s="12">
        <f t="shared" si="126"/>
        <v>-39.388659612049494</v>
      </c>
      <c r="U300" s="22">
        <f t="shared" si="127"/>
        <v>208.29748199598032</v>
      </c>
      <c r="V300" s="12">
        <f t="shared" si="128"/>
        <v>118.29748199598032</v>
      </c>
      <c r="W300" s="23">
        <f t="shared" si="129"/>
        <v>50.611340387950506</v>
      </c>
      <c r="X300" s="65"/>
      <c r="Y300" s="66"/>
      <c r="Z300" s="67"/>
      <c r="AA300" s="55"/>
      <c r="AB300" s="58"/>
      <c r="AC300" s="68">
        <v>75.5</v>
      </c>
      <c r="AD300" s="69">
        <v>59.8</v>
      </c>
      <c r="AE300" s="22">
        <f t="shared" si="130"/>
        <v>132.79748199598032</v>
      </c>
      <c r="AF300" s="12">
        <f t="shared" si="131"/>
        <v>42.79748199598032</v>
      </c>
      <c r="AG300" s="12">
        <f t="shared" si="132"/>
        <v>50.611340387950506</v>
      </c>
      <c r="AH300" s="48"/>
      <c r="AI300" s="27"/>
    </row>
    <row r="301" spans="1:35" s="54" customFormat="1" ht="12.75" customHeight="1">
      <c r="A301" s="89">
        <f>H301/100+180.5</f>
        <v>180.96</v>
      </c>
      <c r="B301" s="90" t="s">
        <v>49</v>
      </c>
      <c r="C301" s="58" t="s">
        <v>101</v>
      </c>
      <c r="D301" s="58">
        <v>1</v>
      </c>
      <c r="E301" s="55" t="s">
        <v>50</v>
      </c>
      <c r="F301" s="56">
        <v>42</v>
      </c>
      <c r="G301" s="57">
        <v>50</v>
      </c>
      <c r="H301" s="1">
        <f t="shared" si="121"/>
        <v>46</v>
      </c>
      <c r="I301" s="59"/>
      <c r="J301" s="55">
        <v>90</v>
      </c>
      <c r="K301" s="60">
        <v>36</v>
      </c>
      <c r="L301" s="60">
        <v>0</v>
      </c>
      <c r="M301" s="60">
        <v>38</v>
      </c>
      <c r="N301" s="60"/>
      <c r="O301" s="61"/>
      <c r="P301" s="38">
        <f t="shared" si="122"/>
        <v>0.49808059632040985</v>
      </c>
      <c r="Q301" s="38">
        <f t="shared" si="123"/>
        <v>0.46318109961790893</v>
      </c>
      <c r="R301" s="38">
        <f t="shared" si="124"/>
        <v>-0.6375140914180475</v>
      </c>
      <c r="S301" s="62">
        <f t="shared" si="125"/>
        <v>42.92073687906481</v>
      </c>
      <c r="T301" s="12">
        <f t="shared" si="126"/>
        <v>-43.14619119946442</v>
      </c>
      <c r="U301" s="22">
        <f t="shared" si="127"/>
        <v>42.92073687906481</v>
      </c>
      <c r="V301" s="12">
        <f t="shared" si="128"/>
        <v>312.9207368790648</v>
      </c>
      <c r="W301" s="23">
        <f t="shared" si="129"/>
        <v>46.85380880053558</v>
      </c>
      <c r="X301" s="65"/>
      <c r="Y301" s="66"/>
      <c r="Z301" s="67"/>
      <c r="AA301" s="55"/>
      <c r="AB301" s="58"/>
      <c r="AC301" s="68">
        <v>75.5</v>
      </c>
      <c r="AD301" s="69">
        <v>59.8</v>
      </c>
      <c r="AE301" s="22">
        <f t="shared" si="130"/>
        <v>327.4207368790648</v>
      </c>
      <c r="AF301" s="12">
        <f t="shared" si="131"/>
        <v>237.4207368790648</v>
      </c>
      <c r="AG301" s="12">
        <f t="shared" si="132"/>
        <v>46.85380880053558</v>
      </c>
      <c r="AH301" s="48"/>
      <c r="AI301" s="27"/>
    </row>
    <row r="302" spans="1:35" s="54" customFormat="1" ht="12.75" customHeight="1">
      <c r="A302" s="89">
        <f>H302/100+181.509</f>
        <v>181.814</v>
      </c>
      <c r="B302" s="90" t="s">
        <v>49</v>
      </c>
      <c r="C302" s="58" t="s">
        <v>101</v>
      </c>
      <c r="D302" s="58">
        <v>2</v>
      </c>
      <c r="E302" s="55" t="s">
        <v>50</v>
      </c>
      <c r="F302" s="56">
        <v>28</v>
      </c>
      <c r="G302" s="57">
        <v>33</v>
      </c>
      <c r="H302" s="1">
        <f t="shared" si="121"/>
        <v>30.5</v>
      </c>
      <c r="I302" s="59"/>
      <c r="J302" s="55">
        <v>270</v>
      </c>
      <c r="K302" s="60">
        <v>39</v>
      </c>
      <c r="L302" s="60">
        <v>180</v>
      </c>
      <c r="M302" s="60">
        <v>35</v>
      </c>
      <c r="N302" s="60"/>
      <c r="O302" s="61"/>
      <c r="P302" s="38">
        <f t="shared" si="122"/>
        <v>-0.4457526110970968</v>
      </c>
      <c r="Q302" s="38">
        <f t="shared" si="123"/>
        <v>-0.5155090848412219</v>
      </c>
      <c r="R302" s="38">
        <f t="shared" si="124"/>
        <v>-0.6366007030384118</v>
      </c>
      <c r="S302" s="62">
        <f t="shared" si="125"/>
        <v>229.15054290592383</v>
      </c>
      <c r="T302" s="12">
        <f t="shared" si="126"/>
        <v>-43.0489671868774</v>
      </c>
      <c r="U302" s="22">
        <f t="shared" si="127"/>
        <v>229.15054290592383</v>
      </c>
      <c r="V302" s="12">
        <f t="shared" si="128"/>
        <v>139.15054290592383</v>
      </c>
      <c r="W302" s="23">
        <f t="shared" si="129"/>
        <v>46.9510328131226</v>
      </c>
      <c r="X302" s="65"/>
      <c r="Y302" s="66"/>
      <c r="Z302" s="67"/>
      <c r="AA302" s="55"/>
      <c r="AB302" s="58"/>
      <c r="AC302" s="68">
        <v>75.5</v>
      </c>
      <c r="AD302" s="69">
        <v>59.8</v>
      </c>
      <c r="AE302" s="22">
        <f t="shared" si="130"/>
        <v>153.65054290592383</v>
      </c>
      <c r="AF302" s="12">
        <f t="shared" si="131"/>
        <v>63.65054290592383</v>
      </c>
      <c r="AG302" s="12">
        <f t="shared" si="132"/>
        <v>46.9510328131226</v>
      </c>
      <c r="AH302" s="48"/>
      <c r="AI302" s="27"/>
    </row>
    <row r="303" spans="1:38" s="54" customFormat="1" ht="12.75" customHeight="1">
      <c r="A303" s="89">
        <f>H303/100+181.509</f>
        <v>181.85899999999998</v>
      </c>
      <c r="B303" s="90" t="s">
        <v>49</v>
      </c>
      <c r="C303" s="58" t="s">
        <v>101</v>
      </c>
      <c r="D303" s="58">
        <v>2</v>
      </c>
      <c r="E303" s="55" t="s">
        <v>63</v>
      </c>
      <c r="F303" s="56">
        <v>30</v>
      </c>
      <c r="G303" s="57">
        <v>40</v>
      </c>
      <c r="H303" s="1">
        <f t="shared" si="121"/>
        <v>35</v>
      </c>
      <c r="I303" s="59"/>
      <c r="J303" s="55">
        <v>90</v>
      </c>
      <c r="K303" s="60">
        <v>54</v>
      </c>
      <c r="L303" s="60">
        <v>180</v>
      </c>
      <c r="M303" s="60">
        <v>53</v>
      </c>
      <c r="N303" s="60"/>
      <c r="O303" s="61"/>
      <c r="P303" s="38">
        <f t="shared" si="122"/>
        <v>0.4694261747628759</v>
      </c>
      <c r="Q303" s="38">
        <f t="shared" si="123"/>
        <v>-0.48687858120015964</v>
      </c>
      <c r="R303" s="38">
        <f t="shared" si="124"/>
        <v>0.3537379952168273</v>
      </c>
      <c r="S303" s="62">
        <f t="shared" si="125"/>
        <v>313.9544773944422</v>
      </c>
      <c r="T303" s="12">
        <f t="shared" si="126"/>
        <v>27.61099716348404</v>
      </c>
      <c r="U303" s="22">
        <f t="shared" si="127"/>
        <v>133.95447739444222</v>
      </c>
      <c r="V303" s="12">
        <f t="shared" si="128"/>
        <v>43.95447739444222</v>
      </c>
      <c r="W303" s="23">
        <f t="shared" si="129"/>
        <v>62.38900283651596</v>
      </c>
      <c r="X303" s="65"/>
      <c r="Y303" s="66"/>
      <c r="Z303" s="67"/>
      <c r="AA303" s="55"/>
      <c r="AB303" s="58"/>
      <c r="AC303" s="68">
        <v>75.5</v>
      </c>
      <c r="AD303" s="69">
        <v>59.8</v>
      </c>
      <c r="AE303" s="22">
        <f t="shared" si="130"/>
        <v>58.45447739444222</v>
      </c>
      <c r="AF303" s="12">
        <f t="shared" si="131"/>
        <v>328.4544773944422</v>
      </c>
      <c r="AG303" s="12">
        <f t="shared" si="132"/>
        <v>62.38900283651596</v>
      </c>
      <c r="AH303" s="48"/>
      <c r="AI303" s="27"/>
      <c r="AL303"/>
    </row>
    <row r="304" spans="1:39" s="54" customFormat="1" ht="12.75" customHeight="1">
      <c r="A304" s="89">
        <f>H304/100+181.509</f>
        <v>182.14899999999997</v>
      </c>
      <c r="B304" s="90" t="s">
        <v>49</v>
      </c>
      <c r="C304" s="58" t="s">
        <v>101</v>
      </c>
      <c r="D304" s="58">
        <v>2</v>
      </c>
      <c r="E304" s="55" t="s">
        <v>44</v>
      </c>
      <c r="F304" s="56">
        <v>63</v>
      </c>
      <c r="G304" s="57">
        <v>65</v>
      </c>
      <c r="H304" s="1">
        <f t="shared" si="121"/>
        <v>64</v>
      </c>
      <c r="I304" s="59"/>
      <c r="J304" s="55">
        <v>90</v>
      </c>
      <c r="K304" s="60">
        <v>22</v>
      </c>
      <c r="L304" s="60">
        <v>180</v>
      </c>
      <c r="M304" s="60">
        <v>8</v>
      </c>
      <c r="N304" s="60"/>
      <c r="O304" s="61"/>
      <c r="P304" s="38">
        <f t="shared" si="122"/>
        <v>0.1290390522001661</v>
      </c>
      <c r="Q304" s="38">
        <f t="shared" si="123"/>
        <v>-0.37096094779983385</v>
      </c>
      <c r="R304" s="38">
        <f t="shared" si="124"/>
        <v>0.9181605650302176</v>
      </c>
      <c r="S304" s="62">
        <f t="shared" si="125"/>
        <v>289.180269737607</v>
      </c>
      <c r="T304" s="12">
        <f t="shared" si="126"/>
        <v>66.84011517770342</v>
      </c>
      <c r="U304" s="22">
        <f t="shared" si="127"/>
        <v>109.18026973760698</v>
      </c>
      <c r="V304" s="12">
        <f t="shared" si="128"/>
        <v>19.180269737606977</v>
      </c>
      <c r="W304" s="23">
        <f t="shared" si="129"/>
        <v>23.159884822296576</v>
      </c>
      <c r="X304" s="65"/>
      <c r="Y304" s="66"/>
      <c r="Z304" s="67"/>
      <c r="AA304" s="55"/>
      <c r="AB304" s="58"/>
      <c r="AC304" s="68">
        <v>75.5</v>
      </c>
      <c r="AD304" s="69">
        <v>59.8</v>
      </c>
      <c r="AE304" s="22">
        <f t="shared" si="130"/>
        <v>33.68026973760698</v>
      </c>
      <c r="AF304" s="12">
        <f t="shared" si="131"/>
        <v>303.680269737607</v>
      </c>
      <c r="AG304" s="12">
        <f t="shared" si="132"/>
        <v>23.159884822296576</v>
      </c>
      <c r="AH304" s="48"/>
      <c r="AI304" s="27"/>
      <c r="AM304"/>
    </row>
    <row r="305" spans="1:38" s="54" customFormat="1" ht="12.75" customHeight="1">
      <c r="A305" s="89">
        <f>H305/100+182.85</f>
        <v>183.23749999999998</v>
      </c>
      <c r="B305" s="90" t="s">
        <v>49</v>
      </c>
      <c r="C305" s="58" t="s">
        <v>101</v>
      </c>
      <c r="D305" s="58">
        <v>5</v>
      </c>
      <c r="E305" s="55" t="s">
        <v>63</v>
      </c>
      <c r="F305" s="56">
        <v>30.5</v>
      </c>
      <c r="G305" s="57">
        <v>47</v>
      </c>
      <c r="H305" s="1">
        <f t="shared" si="121"/>
        <v>38.75</v>
      </c>
      <c r="I305" s="59"/>
      <c r="J305" s="55">
        <v>270</v>
      </c>
      <c r="K305" s="60">
        <v>63</v>
      </c>
      <c r="L305" s="60">
        <v>180</v>
      </c>
      <c r="M305" s="60">
        <v>38</v>
      </c>
      <c r="N305" s="60"/>
      <c r="O305" s="61"/>
      <c r="P305" s="38">
        <f t="shared" si="122"/>
        <v>-0.27950446085348235</v>
      </c>
      <c r="Q305" s="38">
        <f t="shared" si="123"/>
        <v>-0.7021227225941817</v>
      </c>
      <c r="R305" s="38">
        <f t="shared" si="124"/>
        <v>-0.3577493958300526</v>
      </c>
      <c r="S305" s="62">
        <f t="shared" si="125"/>
        <v>248.2932448080265</v>
      </c>
      <c r="T305" s="12">
        <f t="shared" si="126"/>
        <v>-25.332616040883963</v>
      </c>
      <c r="U305" s="22">
        <f t="shared" si="127"/>
        <v>248.2932448080265</v>
      </c>
      <c r="V305" s="12">
        <f t="shared" si="128"/>
        <v>158.2932448080265</v>
      </c>
      <c r="W305" s="23">
        <f t="shared" si="129"/>
        <v>64.66738395911604</v>
      </c>
      <c r="X305" s="65"/>
      <c r="Y305" s="66"/>
      <c r="Z305" s="67"/>
      <c r="AA305" s="55"/>
      <c r="AB305" s="58"/>
      <c r="AC305" s="68">
        <v>75.5</v>
      </c>
      <c r="AD305" s="69">
        <v>59.8</v>
      </c>
      <c r="AE305" s="22">
        <f t="shared" si="130"/>
        <v>172.7932448080265</v>
      </c>
      <c r="AF305" s="12">
        <f t="shared" si="131"/>
        <v>82.79324480802649</v>
      </c>
      <c r="AG305" s="12">
        <f t="shared" si="132"/>
        <v>64.66738395911604</v>
      </c>
      <c r="AH305" s="48"/>
      <c r="AI305" s="27"/>
      <c r="AL305"/>
    </row>
    <row r="306" spans="1:36" s="54" customFormat="1" ht="12.75" customHeight="1">
      <c r="A306" s="89">
        <f>H306/100+182.85</f>
        <v>183.625</v>
      </c>
      <c r="B306" s="90" t="s">
        <v>49</v>
      </c>
      <c r="C306" s="58" t="s">
        <v>101</v>
      </c>
      <c r="D306" s="58">
        <v>5</v>
      </c>
      <c r="E306" s="55" t="s">
        <v>50</v>
      </c>
      <c r="F306" s="56">
        <v>73</v>
      </c>
      <c r="G306" s="57">
        <v>82</v>
      </c>
      <c r="H306" s="1">
        <f t="shared" si="121"/>
        <v>77.5</v>
      </c>
      <c r="I306" s="59"/>
      <c r="J306" s="55">
        <v>270</v>
      </c>
      <c r="K306" s="60">
        <v>49</v>
      </c>
      <c r="L306" s="60">
        <v>180</v>
      </c>
      <c r="M306" s="60">
        <v>54</v>
      </c>
      <c r="N306" s="60"/>
      <c r="O306" s="61"/>
      <c r="P306" s="38">
        <f t="shared" si="122"/>
        <v>-0.5307629037664467</v>
      </c>
      <c r="Q306" s="38">
        <f t="shared" si="123"/>
        <v>-0.44360716101878844</v>
      </c>
      <c r="R306" s="38">
        <f t="shared" si="124"/>
        <v>-0.3856218218739403</v>
      </c>
      <c r="S306" s="62">
        <f t="shared" si="125"/>
        <v>219.8885932625537</v>
      </c>
      <c r="T306" s="12">
        <f t="shared" si="126"/>
        <v>-29.138393815823395</v>
      </c>
      <c r="U306" s="22">
        <f t="shared" si="127"/>
        <v>219.8885932625537</v>
      </c>
      <c r="V306" s="12">
        <f t="shared" si="128"/>
        <v>129.8885932625537</v>
      </c>
      <c r="W306" s="23">
        <f t="shared" si="129"/>
        <v>60.86160618417661</v>
      </c>
      <c r="X306" s="65"/>
      <c r="Y306" s="66"/>
      <c r="Z306" s="67" t="s">
        <v>51</v>
      </c>
      <c r="AA306" s="55"/>
      <c r="AB306" s="58"/>
      <c r="AC306" s="68">
        <v>75.5</v>
      </c>
      <c r="AD306" s="69">
        <v>59.8</v>
      </c>
      <c r="AE306" s="22">
        <f t="shared" si="130"/>
        <v>144.3885932625537</v>
      </c>
      <c r="AF306" s="12">
        <f t="shared" si="131"/>
        <v>54.38859326255371</v>
      </c>
      <c r="AG306" s="12">
        <f t="shared" si="132"/>
        <v>60.86160618417661</v>
      </c>
      <c r="AH306" s="48"/>
      <c r="AI306" s="27" t="str">
        <f>Z306</f>
        <v>N</v>
      </c>
      <c r="AJ306" s="54" t="s">
        <v>58</v>
      </c>
    </row>
    <row r="307" spans="1:39" s="54" customFormat="1" ht="12.75" customHeight="1">
      <c r="A307" s="89">
        <f>H307/100+184.808</f>
        <v>185.168</v>
      </c>
      <c r="B307" s="90" t="s">
        <v>49</v>
      </c>
      <c r="C307" s="58" t="s">
        <v>102</v>
      </c>
      <c r="D307" s="58">
        <v>2</v>
      </c>
      <c r="E307" s="55" t="s">
        <v>44</v>
      </c>
      <c r="F307" s="56">
        <v>34.5</v>
      </c>
      <c r="G307" s="57">
        <v>37.5</v>
      </c>
      <c r="H307" s="1">
        <f t="shared" si="121"/>
        <v>36</v>
      </c>
      <c r="I307" s="59"/>
      <c r="J307" s="55">
        <v>270</v>
      </c>
      <c r="K307" s="60">
        <v>28</v>
      </c>
      <c r="L307" s="60">
        <v>180</v>
      </c>
      <c r="M307" s="60">
        <v>5</v>
      </c>
      <c r="N307" s="60"/>
      <c r="O307" s="61"/>
      <c r="P307" s="38">
        <f t="shared" si="122"/>
        <v>-0.07695395326287671</v>
      </c>
      <c r="Q307" s="38">
        <f t="shared" si="123"/>
        <v>-0.46768508175215046</v>
      </c>
      <c r="R307" s="38">
        <f t="shared" si="124"/>
        <v>-0.8795877106989323</v>
      </c>
      <c r="S307" s="62">
        <f t="shared" si="125"/>
        <v>260.65614909660746</v>
      </c>
      <c r="T307" s="12">
        <f t="shared" si="126"/>
        <v>-61.68158620647851</v>
      </c>
      <c r="U307" s="22">
        <f t="shared" si="127"/>
        <v>260.65614909660746</v>
      </c>
      <c r="V307" s="12">
        <f t="shared" si="128"/>
        <v>170.65614909660746</v>
      </c>
      <c r="W307" s="23">
        <f t="shared" si="129"/>
        <v>28.318413793521493</v>
      </c>
      <c r="X307" s="65"/>
      <c r="Y307" s="66"/>
      <c r="Z307" s="67"/>
      <c r="AA307" s="55"/>
      <c r="AB307" s="58"/>
      <c r="AC307" s="31">
        <v>323.8</v>
      </c>
      <c r="AD307" s="32">
        <v>76.6</v>
      </c>
      <c r="AE307" s="22">
        <f t="shared" si="130"/>
        <v>296.85614909660745</v>
      </c>
      <c r="AF307" s="12">
        <f t="shared" si="131"/>
        <v>206.85614909660745</v>
      </c>
      <c r="AG307" s="12">
        <f t="shared" si="132"/>
        <v>28.318413793521493</v>
      </c>
      <c r="AH307" s="48"/>
      <c r="AI307" s="27"/>
      <c r="AM307"/>
    </row>
    <row r="308" spans="1:35" s="54" customFormat="1" ht="12.75" customHeight="1">
      <c r="A308" s="89">
        <f>H308/100+184.5</f>
        <v>185.2325</v>
      </c>
      <c r="B308" s="90" t="s">
        <v>49</v>
      </c>
      <c r="C308" s="58" t="s">
        <v>102</v>
      </c>
      <c r="D308" s="58">
        <v>1</v>
      </c>
      <c r="E308" s="55" t="s">
        <v>50</v>
      </c>
      <c r="F308" s="56">
        <v>69</v>
      </c>
      <c r="G308" s="57">
        <v>77.5</v>
      </c>
      <c r="H308" s="1">
        <f t="shared" si="121"/>
        <v>73.25</v>
      </c>
      <c r="I308" s="59"/>
      <c r="J308" s="55">
        <v>270</v>
      </c>
      <c r="K308" s="60">
        <v>46</v>
      </c>
      <c r="L308" s="60">
        <v>180</v>
      </c>
      <c r="M308" s="60">
        <v>51</v>
      </c>
      <c r="N308" s="60"/>
      <c r="O308" s="61"/>
      <c r="P308" s="38">
        <f t="shared" si="122"/>
        <v>-0.5398509471944901</v>
      </c>
      <c r="Q308" s="38">
        <f t="shared" si="123"/>
        <v>-0.4526952044468318</v>
      </c>
      <c r="R308" s="38">
        <f t="shared" si="124"/>
        <v>-0.4371626773432991</v>
      </c>
      <c r="S308" s="62">
        <f t="shared" si="125"/>
        <v>219.9817139503219</v>
      </c>
      <c r="T308" s="12">
        <f t="shared" si="126"/>
        <v>-31.819463041759644</v>
      </c>
      <c r="U308" s="22">
        <f t="shared" si="127"/>
        <v>219.9817139503219</v>
      </c>
      <c r="V308" s="12">
        <f t="shared" si="128"/>
        <v>129.9817139503219</v>
      </c>
      <c r="W308" s="23">
        <f t="shared" si="129"/>
        <v>58.18053695824035</v>
      </c>
      <c r="X308" s="65"/>
      <c r="Y308" s="66"/>
      <c r="Z308" s="67"/>
      <c r="AA308" s="55"/>
      <c r="AB308" s="58"/>
      <c r="AC308" s="31">
        <v>323.8</v>
      </c>
      <c r="AD308" s="32">
        <v>76.6</v>
      </c>
      <c r="AE308" s="22">
        <f t="shared" si="130"/>
        <v>256.18171395032186</v>
      </c>
      <c r="AF308" s="12">
        <f t="shared" si="131"/>
        <v>166.18171395032186</v>
      </c>
      <c r="AG308" s="12">
        <f t="shared" si="132"/>
        <v>58.18053695824035</v>
      </c>
      <c r="AH308" s="48"/>
      <c r="AI308" s="27"/>
    </row>
    <row r="309" spans="1:35" s="54" customFormat="1" ht="12.75" customHeight="1">
      <c r="A309" s="89">
        <f>H309/100+184.5</f>
        <v>185.25</v>
      </c>
      <c r="B309" s="90" t="s">
        <v>49</v>
      </c>
      <c r="C309" s="58" t="s">
        <v>102</v>
      </c>
      <c r="D309" s="58">
        <v>1</v>
      </c>
      <c r="E309" s="55" t="s">
        <v>50</v>
      </c>
      <c r="F309" s="56">
        <v>73</v>
      </c>
      <c r="G309" s="57">
        <v>77</v>
      </c>
      <c r="H309" s="1">
        <f t="shared" si="121"/>
        <v>75</v>
      </c>
      <c r="I309" s="59"/>
      <c r="J309" s="55">
        <v>90</v>
      </c>
      <c r="K309" s="60">
        <v>33</v>
      </c>
      <c r="L309" s="60">
        <v>0</v>
      </c>
      <c r="M309" s="60">
        <v>31</v>
      </c>
      <c r="N309" s="60"/>
      <c r="O309" s="61"/>
      <c r="P309" s="38">
        <f t="shared" si="122"/>
        <v>0.431947274798333</v>
      </c>
      <c r="Q309" s="38">
        <f t="shared" si="123"/>
        <v>0.46684677150083403</v>
      </c>
      <c r="R309" s="38">
        <f t="shared" si="124"/>
        <v>-0.7188809869040866</v>
      </c>
      <c r="S309" s="62">
        <f t="shared" si="125"/>
        <v>47.22363493429469</v>
      </c>
      <c r="T309" s="12">
        <f t="shared" si="126"/>
        <v>-48.499547523417256</v>
      </c>
      <c r="U309" s="22">
        <f t="shared" si="127"/>
        <v>47.22363493429469</v>
      </c>
      <c r="V309" s="12">
        <f t="shared" si="128"/>
        <v>317.2236349342947</v>
      </c>
      <c r="W309" s="23">
        <f t="shared" si="129"/>
        <v>41.500452476582744</v>
      </c>
      <c r="X309" s="65"/>
      <c r="Y309" s="66"/>
      <c r="Z309" s="67"/>
      <c r="AA309" s="55"/>
      <c r="AB309" s="58"/>
      <c r="AC309" s="31">
        <v>323.8</v>
      </c>
      <c r="AD309" s="32">
        <v>76.6</v>
      </c>
      <c r="AE309" s="22">
        <f t="shared" si="130"/>
        <v>83.42363493429468</v>
      </c>
      <c r="AF309" s="12">
        <f t="shared" si="131"/>
        <v>353.4236349342947</v>
      </c>
      <c r="AG309" s="12">
        <f t="shared" si="132"/>
        <v>41.500452476582744</v>
      </c>
      <c r="AH309" s="48"/>
      <c r="AI309" s="27"/>
    </row>
    <row r="310" spans="1:39" s="54" customFormat="1" ht="12.75" customHeight="1">
      <c r="A310" s="89">
        <f>H310/100+186</f>
        <v>186.565</v>
      </c>
      <c r="B310" s="90" t="s">
        <v>49</v>
      </c>
      <c r="C310" s="58" t="s">
        <v>109</v>
      </c>
      <c r="D310" s="58">
        <v>1</v>
      </c>
      <c r="E310" s="55" t="s">
        <v>44</v>
      </c>
      <c r="F310" s="56">
        <v>56</v>
      </c>
      <c r="G310" s="57">
        <v>57</v>
      </c>
      <c r="H310" s="11">
        <f t="shared" si="121"/>
        <v>56.5</v>
      </c>
      <c r="I310" s="59"/>
      <c r="J310" s="55">
        <v>90</v>
      </c>
      <c r="K310" s="60">
        <v>7</v>
      </c>
      <c r="L310" s="60">
        <v>0</v>
      </c>
      <c r="M310" s="60">
        <v>10</v>
      </c>
      <c r="N310" s="60"/>
      <c r="O310" s="61"/>
      <c r="P310" s="38">
        <f t="shared" si="122"/>
        <v>0.17235383048284025</v>
      </c>
      <c r="Q310" s="38">
        <f t="shared" si="123"/>
        <v>0.12001787423989642</v>
      </c>
      <c r="R310" s="38">
        <f t="shared" si="124"/>
        <v>-0.9774671453588046</v>
      </c>
      <c r="S310" s="62">
        <f t="shared" si="125"/>
        <v>34.85126374945101</v>
      </c>
      <c r="T310" s="12">
        <f t="shared" si="126"/>
        <v>-77.8734769824859</v>
      </c>
      <c r="U310" s="22">
        <f t="shared" si="127"/>
        <v>34.85126374945101</v>
      </c>
      <c r="V310" s="12">
        <f t="shared" si="128"/>
        <v>304.851263749451</v>
      </c>
      <c r="W310" s="23">
        <f t="shared" si="129"/>
        <v>12.126523017514103</v>
      </c>
      <c r="X310" s="65"/>
      <c r="Y310" s="66"/>
      <c r="Z310" s="67"/>
      <c r="AA310" s="55"/>
      <c r="AB310" s="58"/>
      <c r="AC310" s="68"/>
      <c r="AD310" s="69"/>
      <c r="AE310" s="22"/>
      <c r="AF310" s="12"/>
      <c r="AG310" s="12"/>
      <c r="AH310" s="48"/>
      <c r="AI310" s="27"/>
      <c r="AM310"/>
    </row>
    <row r="311" spans="1:35" s="54" customFormat="1" ht="12.75" customHeight="1">
      <c r="A311" s="89">
        <f>H311/100+188.815</f>
        <v>189.405</v>
      </c>
      <c r="B311" s="90" t="s">
        <v>49</v>
      </c>
      <c r="C311" s="58" t="s">
        <v>109</v>
      </c>
      <c r="D311" s="58">
        <v>3</v>
      </c>
      <c r="E311" s="55" t="s">
        <v>50</v>
      </c>
      <c r="F311" s="56">
        <v>56</v>
      </c>
      <c r="G311" s="57">
        <v>62</v>
      </c>
      <c r="H311" s="11">
        <f t="shared" si="121"/>
        <v>59</v>
      </c>
      <c r="I311" s="59"/>
      <c r="J311" s="55">
        <v>270</v>
      </c>
      <c r="K311" s="60">
        <v>45</v>
      </c>
      <c r="L311" s="60">
        <v>57</v>
      </c>
      <c r="M311" s="60">
        <v>0</v>
      </c>
      <c r="N311" s="60"/>
      <c r="O311" s="61"/>
      <c r="P311" s="38">
        <f t="shared" si="122"/>
        <v>-0.5930296457757823</v>
      </c>
      <c r="Q311" s="38">
        <f t="shared" si="123"/>
        <v>0.3851179549580232</v>
      </c>
      <c r="R311" s="38">
        <f t="shared" si="124"/>
        <v>0.38511795495802315</v>
      </c>
      <c r="S311" s="62">
        <f t="shared" si="125"/>
        <v>147</v>
      </c>
      <c r="T311" s="12">
        <f t="shared" si="126"/>
        <v>28.574436097540456</v>
      </c>
      <c r="U311" s="22">
        <f t="shared" si="127"/>
        <v>327</v>
      </c>
      <c r="V311" s="12">
        <f t="shared" si="128"/>
        <v>237</v>
      </c>
      <c r="W311" s="23">
        <f t="shared" si="129"/>
        <v>61.425563902459544</v>
      </c>
      <c r="X311" s="65"/>
      <c r="Y311" s="66"/>
      <c r="Z311" s="67"/>
      <c r="AA311" s="55"/>
      <c r="AB311" s="58"/>
      <c r="AC311" s="68"/>
      <c r="AD311" s="69"/>
      <c r="AE311" s="22"/>
      <c r="AF311" s="12"/>
      <c r="AG311" s="12"/>
      <c r="AH311" s="48"/>
      <c r="AI311" s="27"/>
    </row>
    <row r="312" spans="1:35" s="54" customFormat="1" ht="12.75" customHeight="1">
      <c r="A312" s="89">
        <f>H312/100+188.815</f>
        <v>189.565</v>
      </c>
      <c r="B312" s="90" t="s">
        <v>49</v>
      </c>
      <c r="C312" s="58" t="s">
        <v>109</v>
      </c>
      <c r="D312" s="58">
        <v>3</v>
      </c>
      <c r="E312" s="55" t="s">
        <v>50</v>
      </c>
      <c r="F312" s="56">
        <v>71</v>
      </c>
      <c r="G312" s="57">
        <v>79</v>
      </c>
      <c r="H312" s="11">
        <f t="shared" si="121"/>
        <v>75</v>
      </c>
      <c r="I312" s="59"/>
      <c r="J312" s="55">
        <v>90</v>
      </c>
      <c r="K312" s="60">
        <v>50</v>
      </c>
      <c r="L312" s="60">
        <v>22</v>
      </c>
      <c r="M312" s="60">
        <v>0</v>
      </c>
      <c r="N312" s="60"/>
      <c r="O312" s="61"/>
      <c r="P312" s="38">
        <f t="shared" si="122"/>
        <v>-0.2869652992419897</v>
      </c>
      <c r="Q312" s="38">
        <f t="shared" si="123"/>
        <v>0.7102640395405222</v>
      </c>
      <c r="R312" s="38">
        <f t="shared" si="124"/>
        <v>-0.5959822936169372</v>
      </c>
      <c r="S312" s="62">
        <f t="shared" si="125"/>
        <v>112</v>
      </c>
      <c r="T312" s="12">
        <f t="shared" si="126"/>
        <v>-37.88290286682391</v>
      </c>
      <c r="U312" s="22">
        <f t="shared" si="127"/>
        <v>112</v>
      </c>
      <c r="V312" s="12">
        <f t="shared" si="128"/>
        <v>22</v>
      </c>
      <c r="W312" s="23">
        <f t="shared" si="129"/>
        <v>52.11709713317609</v>
      </c>
      <c r="X312" s="65"/>
      <c r="Y312" s="66"/>
      <c r="Z312" s="67"/>
      <c r="AA312" s="55"/>
      <c r="AB312" s="58"/>
      <c r="AC312" s="68"/>
      <c r="AD312" s="69"/>
      <c r="AE312" s="22"/>
      <c r="AF312" s="12"/>
      <c r="AG312" s="12"/>
      <c r="AH312" s="48"/>
      <c r="AI312" s="27"/>
    </row>
    <row r="313" spans="1:39" s="54" customFormat="1" ht="12.75" customHeight="1">
      <c r="A313" s="89">
        <f>H313/100+202.57</f>
        <v>203.355</v>
      </c>
      <c r="B313" s="90" t="s">
        <v>49</v>
      </c>
      <c r="C313" s="58" t="s">
        <v>110</v>
      </c>
      <c r="D313" s="58">
        <v>4</v>
      </c>
      <c r="E313" s="55" t="s">
        <v>44</v>
      </c>
      <c r="F313" s="56">
        <v>78</v>
      </c>
      <c r="G313" s="57">
        <v>79</v>
      </c>
      <c r="H313" s="11">
        <f t="shared" si="121"/>
        <v>78.5</v>
      </c>
      <c r="I313" s="59"/>
      <c r="J313" s="55">
        <v>270</v>
      </c>
      <c r="K313" s="60">
        <v>22</v>
      </c>
      <c r="L313" s="60">
        <v>180</v>
      </c>
      <c r="M313" s="60">
        <v>19</v>
      </c>
      <c r="N313" s="60"/>
      <c r="O313" s="61"/>
      <c r="P313" s="38">
        <f t="shared" si="122"/>
        <v>-0.30186153637378177</v>
      </c>
      <c r="Q313" s="38">
        <f t="shared" si="123"/>
        <v>-0.3541974926167255</v>
      </c>
      <c r="R313" s="38">
        <f t="shared" si="124"/>
        <v>-0.876669557488673</v>
      </c>
      <c r="S313" s="62">
        <f t="shared" si="125"/>
        <v>229.56101142117046</v>
      </c>
      <c r="T313" s="12">
        <f t="shared" si="126"/>
        <v>-62.03852981614716</v>
      </c>
      <c r="U313" s="22">
        <f t="shared" si="127"/>
        <v>229.56101142117046</v>
      </c>
      <c r="V313" s="12">
        <f t="shared" si="128"/>
        <v>139.56101142117046</v>
      </c>
      <c r="W313" s="23">
        <f t="shared" si="129"/>
        <v>27.96147018385284</v>
      </c>
      <c r="X313" s="65"/>
      <c r="Y313" s="66"/>
      <c r="Z313" s="67"/>
      <c r="AA313" s="55"/>
      <c r="AB313" s="58"/>
      <c r="AC313" s="68"/>
      <c r="AD313" s="69"/>
      <c r="AE313" s="22"/>
      <c r="AF313" s="12"/>
      <c r="AG313" s="12"/>
      <c r="AH313" s="48"/>
      <c r="AI313" s="27"/>
      <c r="AM313"/>
    </row>
    <row r="314" spans="1:39" s="54" customFormat="1" ht="12.75" customHeight="1">
      <c r="A314" s="89">
        <f>H314/100+205.848</f>
        <v>205.893</v>
      </c>
      <c r="B314" s="90" t="s">
        <v>49</v>
      </c>
      <c r="C314" s="58" t="s">
        <v>111</v>
      </c>
      <c r="D314" s="58">
        <v>2</v>
      </c>
      <c r="E314" s="55" t="s">
        <v>44</v>
      </c>
      <c r="F314" s="56">
        <v>4</v>
      </c>
      <c r="G314" s="57">
        <v>5</v>
      </c>
      <c r="H314" s="11">
        <f t="shared" si="121"/>
        <v>4.5</v>
      </c>
      <c r="I314" s="59"/>
      <c r="J314" s="55">
        <v>270</v>
      </c>
      <c r="K314" s="60">
        <v>9</v>
      </c>
      <c r="L314" s="60">
        <v>297</v>
      </c>
      <c r="M314" s="60">
        <v>0</v>
      </c>
      <c r="N314" s="60"/>
      <c r="O314" s="61"/>
      <c r="P314" s="38">
        <f t="shared" si="122"/>
        <v>0.13938412895876287</v>
      </c>
      <c r="Q314" s="38">
        <f t="shared" si="123"/>
        <v>0.07101976096010305</v>
      </c>
      <c r="R314" s="38">
        <f t="shared" si="124"/>
        <v>0.4484011233337103</v>
      </c>
      <c r="S314" s="62">
        <f t="shared" si="125"/>
        <v>26.99999999999999</v>
      </c>
      <c r="T314" s="12">
        <f t="shared" si="126"/>
        <v>70.76756553289957</v>
      </c>
      <c r="U314" s="22">
        <f t="shared" si="127"/>
        <v>207</v>
      </c>
      <c r="V314" s="12">
        <f t="shared" si="128"/>
        <v>117</v>
      </c>
      <c r="W314" s="23">
        <f t="shared" si="129"/>
        <v>19.232434467100433</v>
      </c>
      <c r="X314" s="65"/>
      <c r="Y314" s="66"/>
      <c r="Z314" s="67"/>
      <c r="AA314" s="55">
        <v>2</v>
      </c>
      <c r="AB314" s="58">
        <v>8</v>
      </c>
      <c r="AC314" s="68">
        <v>57</v>
      </c>
      <c r="AD314" s="69">
        <v>-69.1</v>
      </c>
      <c r="AE314" s="22">
        <f>IF(AD314&gt;=0,IF(U314&gt;=AC314,U314-AC314,U314-AC314+360),IF((U314-AC314-180)&lt;0,IF(U314-AC314+180&lt;0,U314-AC314+540,U314-AC314+180),U314-AC314-180))</f>
        <v>330</v>
      </c>
      <c r="AF314" s="12">
        <f>IF(AE314-90&lt;0,AE314+270,AE314-90)</f>
        <v>240</v>
      </c>
      <c r="AG314" s="12">
        <f>W314</f>
        <v>19.232434467100433</v>
      </c>
      <c r="AH314" s="48"/>
      <c r="AI314" s="27"/>
      <c r="AM314"/>
    </row>
    <row r="315" spans="1:39" s="54" customFormat="1" ht="12.75" customHeight="1">
      <c r="A315" s="89">
        <f>H315/100+206.892</f>
        <v>207.817</v>
      </c>
      <c r="B315" s="90" t="s">
        <v>49</v>
      </c>
      <c r="C315" s="58" t="s">
        <v>111</v>
      </c>
      <c r="D315" s="58">
        <v>4</v>
      </c>
      <c r="E315" s="55" t="s">
        <v>44</v>
      </c>
      <c r="F315" s="56">
        <v>92</v>
      </c>
      <c r="G315" s="57">
        <v>93</v>
      </c>
      <c r="H315" s="11">
        <f t="shared" si="121"/>
        <v>92.5</v>
      </c>
      <c r="I315" s="59"/>
      <c r="J315" s="55">
        <v>270</v>
      </c>
      <c r="K315" s="60">
        <v>23</v>
      </c>
      <c r="L315" s="60">
        <v>13</v>
      </c>
      <c r="M315" s="60">
        <v>0</v>
      </c>
      <c r="N315" s="60"/>
      <c r="O315" s="61"/>
      <c r="P315" s="38">
        <f t="shared" si="122"/>
        <v>-0.08789537931863031</v>
      </c>
      <c r="Q315" s="38">
        <f t="shared" si="123"/>
        <v>0.3807167149797017</v>
      </c>
      <c r="R315" s="38">
        <f t="shared" si="124"/>
        <v>0.8969123736935778</v>
      </c>
      <c r="S315" s="62">
        <f t="shared" si="125"/>
        <v>102.99999999999999</v>
      </c>
      <c r="T315" s="12">
        <f t="shared" si="126"/>
        <v>66.46012045706901</v>
      </c>
      <c r="U315" s="22">
        <f t="shared" si="127"/>
        <v>283</v>
      </c>
      <c r="V315" s="12">
        <f t="shared" si="128"/>
        <v>193</v>
      </c>
      <c r="W315" s="23">
        <f t="shared" si="129"/>
        <v>23.53987954293099</v>
      </c>
      <c r="X315" s="65"/>
      <c r="Y315" s="66"/>
      <c r="Z315" s="67"/>
      <c r="AA315" s="55">
        <v>90</v>
      </c>
      <c r="AB315" s="58">
        <v>94</v>
      </c>
      <c r="AC315" s="68">
        <v>58.9</v>
      </c>
      <c r="AD315" s="69">
        <v>-35.2</v>
      </c>
      <c r="AE315" s="22">
        <f>IF(AD315&gt;=0,IF(U315&gt;=AC315,U315-AC315,U315-AC315+360),IF((U315-AC315-180)&lt;0,IF(U315-AC315+180&lt;0,U315-AC315+540,U315-AC315+180),U315-AC315-180))</f>
        <v>44.099999999999994</v>
      </c>
      <c r="AF315" s="12">
        <f>IF(AE315-90&lt;0,AE315+270,AE315-90)</f>
        <v>314.1</v>
      </c>
      <c r="AG315" s="12">
        <f>W315</f>
        <v>23.53987954293099</v>
      </c>
      <c r="AH315" s="48"/>
      <c r="AI315" s="27"/>
      <c r="AM315"/>
    </row>
    <row r="316" spans="1:39" s="54" customFormat="1" ht="12.75" customHeight="1">
      <c r="A316" s="89">
        <f>H316/100+207.545</f>
        <v>207.99499999999998</v>
      </c>
      <c r="B316" s="90" t="s">
        <v>49</v>
      </c>
      <c r="C316" s="58" t="s">
        <v>111</v>
      </c>
      <c r="D316" s="58">
        <v>5</v>
      </c>
      <c r="E316" s="55" t="s">
        <v>44</v>
      </c>
      <c r="F316" s="56">
        <v>44</v>
      </c>
      <c r="G316" s="57">
        <v>46</v>
      </c>
      <c r="H316" s="11">
        <f t="shared" si="121"/>
        <v>45</v>
      </c>
      <c r="I316" s="59"/>
      <c r="J316" s="55">
        <v>270</v>
      </c>
      <c r="K316" s="60">
        <v>22</v>
      </c>
      <c r="L316" s="60">
        <v>324</v>
      </c>
      <c r="M316" s="60">
        <v>0</v>
      </c>
      <c r="N316" s="60"/>
      <c r="O316" s="61"/>
      <c r="P316" s="38">
        <f t="shared" si="122"/>
        <v>0.22018823102139584</v>
      </c>
      <c r="Q316" s="38">
        <f t="shared" si="123"/>
        <v>0.30306310027837907</v>
      </c>
      <c r="R316" s="38">
        <f t="shared" si="124"/>
        <v>0.7501074952546007</v>
      </c>
      <c r="S316" s="62">
        <f t="shared" si="125"/>
        <v>53.999999999999986</v>
      </c>
      <c r="T316" s="12">
        <f t="shared" si="126"/>
        <v>63.46227947388158</v>
      </c>
      <c r="U316" s="22">
        <f t="shared" si="127"/>
        <v>234</v>
      </c>
      <c r="V316" s="12">
        <f t="shared" si="128"/>
        <v>144</v>
      </c>
      <c r="W316" s="23">
        <f t="shared" si="129"/>
        <v>26.53772052611842</v>
      </c>
      <c r="X316" s="65"/>
      <c r="Y316" s="66"/>
      <c r="Z316" s="67"/>
      <c r="AA316" s="55">
        <v>41</v>
      </c>
      <c r="AB316" s="58">
        <v>49</v>
      </c>
      <c r="AC316" s="68">
        <v>-161</v>
      </c>
      <c r="AD316" s="69">
        <v>-52.2</v>
      </c>
      <c r="AE316" s="22">
        <f>IF(AD316&gt;=0,IF(U316&gt;=AC316,U316-AC316,U316-AC316+360),IF((U316-AC316-180)&lt;0,IF(U316-AC316+180&lt;0,U316-AC316+540,U316-AC316+180),U316-AC316-180))</f>
        <v>215</v>
      </c>
      <c r="AF316" s="12">
        <f>IF(AE316-90&lt;0,AE316+270,AE316-90)</f>
        <v>125</v>
      </c>
      <c r="AG316" s="12">
        <f>W316</f>
        <v>26.53772052611842</v>
      </c>
      <c r="AH316" s="48"/>
      <c r="AI316" s="27"/>
      <c r="AM316"/>
    </row>
    <row r="317" spans="1:39" s="54" customFormat="1" ht="12.75" customHeight="1">
      <c r="A317" s="89">
        <f>H317/100+209.236</f>
        <v>209.43099999999998</v>
      </c>
      <c r="B317" s="90" t="s">
        <v>49</v>
      </c>
      <c r="C317" s="58" t="s">
        <v>111</v>
      </c>
      <c r="D317" s="58">
        <v>7</v>
      </c>
      <c r="E317" s="55" t="s">
        <v>44</v>
      </c>
      <c r="F317" s="56">
        <v>19</v>
      </c>
      <c r="G317" s="57">
        <v>20</v>
      </c>
      <c r="H317" s="11">
        <f t="shared" si="121"/>
        <v>19.5</v>
      </c>
      <c r="I317" s="59"/>
      <c r="J317" s="55">
        <v>270</v>
      </c>
      <c r="K317" s="60">
        <v>13</v>
      </c>
      <c r="L317" s="60">
        <v>70</v>
      </c>
      <c r="M317" s="60">
        <v>0</v>
      </c>
      <c r="N317" s="60"/>
      <c r="O317" s="61"/>
      <c r="P317" s="38">
        <f t="shared" si="122"/>
        <v>-0.2113848458049398</v>
      </c>
      <c r="Q317" s="38">
        <f t="shared" si="123"/>
        <v>0.07693779184794902</v>
      </c>
      <c r="R317" s="38">
        <f t="shared" si="124"/>
        <v>0.3332541892100872</v>
      </c>
      <c r="S317" s="62">
        <f t="shared" si="125"/>
        <v>160</v>
      </c>
      <c r="T317" s="12">
        <f t="shared" si="126"/>
        <v>55.98012126584876</v>
      </c>
      <c r="U317" s="22">
        <f t="shared" si="127"/>
        <v>340</v>
      </c>
      <c r="V317" s="12">
        <f t="shared" si="128"/>
        <v>250</v>
      </c>
      <c r="W317" s="23">
        <f t="shared" si="129"/>
        <v>34.01987873415124</v>
      </c>
      <c r="X317" s="65"/>
      <c r="Y317" s="66"/>
      <c r="Z317" s="67"/>
      <c r="AA317" s="55">
        <v>18</v>
      </c>
      <c r="AB317" s="58">
        <v>25</v>
      </c>
      <c r="AC317" s="68">
        <v>-41.2</v>
      </c>
      <c r="AD317" s="69">
        <v>67.4</v>
      </c>
      <c r="AE317" s="22">
        <f>IF(AD317&gt;=0,IF(U317&gt;=AC317,U317-AC317,U317-AC317+360),IF((U317-AC317-180)&lt;0,IF(U317-AC317+180&lt;0,U317-AC317+540,U317-AC317+180),U317-AC317-180))</f>
        <v>381.2</v>
      </c>
      <c r="AF317" s="12">
        <f>IF(AE317-90&lt;0,AE317+270,AE317-90)</f>
        <v>291.2</v>
      </c>
      <c r="AG317" s="12">
        <f>W317</f>
        <v>34.01987873415124</v>
      </c>
      <c r="AH317" s="48"/>
      <c r="AI317" s="27"/>
      <c r="AM317"/>
    </row>
    <row r="318" spans="1:39" s="54" customFormat="1" ht="12.75" customHeight="1">
      <c r="A318" s="89">
        <f>H318/100+208.391</f>
        <v>209.74099999999999</v>
      </c>
      <c r="B318" s="90" t="s">
        <v>49</v>
      </c>
      <c r="C318" s="58" t="s">
        <v>111</v>
      </c>
      <c r="D318" s="58">
        <v>6</v>
      </c>
      <c r="E318" s="55" t="s">
        <v>44</v>
      </c>
      <c r="F318" s="56">
        <v>134</v>
      </c>
      <c r="G318" s="57">
        <v>136</v>
      </c>
      <c r="H318" s="11">
        <f t="shared" si="121"/>
        <v>135</v>
      </c>
      <c r="I318" s="59"/>
      <c r="J318" s="55">
        <v>270</v>
      </c>
      <c r="K318" s="60">
        <v>20</v>
      </c>
      <c r="L318" s="60">
        <v>180</v>
      </c>
      <c r="M318" s="60">
        <v>19</v>
      </c>
      <c r="N318" s="60"/>
      <c r="O318" s="61"/>
      <c r="P318" s="38">
        <f t="shared" si="122"/>
        <v>-0.305933992306277</v>
      </c>
      <c r="Q318" s="38">
        <f t="shared" si="123"/>
        <v>-0.3233863987435604</v>
      </c>
      <c r="R318" s="38">
        <f t="shared" si="124"/>
        <v>-0.8884968283066811</v>
      </c>
      <c r="S318" s="62">
        <f t="shared" si="125"/>
        <v>226.58852790932687</v>
      </c>
      <c r="T318" s="12">
        <f t="shared" si="126"/>
        <v>-63.38753827921377</v>
      </c>
      <c r="U318" s="22">
        <f t="shared" si="127"/>
        <v>226.58852790932687</v>
      </c>
      <c r="V318" s="12">
        <f t="shared" si="128"/>
        <v>136.58852790932687</v>
      </c>
      <c r="W318" s="23">
        <f t="shared" si="129"/>
        <v>26.61246172078623</v>
      </c>
      <c r="X318" s="65"/>
      <c r="Y318" s="66"/>
      <c r="Z318" s="67"/>
      <c r="AA318" s="55">
        <v>132</v>
      </c>
      <c r="AB318" s="58">
        <v>139</v>
      </c>
      <c r="AC318" s="68">
        <v>12.4</v>
      </c>
      <c r="AD318" s="69">
        <v>74.5</v>
      </c>
      <c r="AE318" s="22">
        <f>IF(AD318&gt;=0,IF(U318&gt;=AC318,U318-AC318,U318-AC318+360),IF((U318-AC318-180)&lt;0,IF(U318-AC318+180&lt;0,U318-AC318+540,U318-AC318+180),U318-AC318-180))</f>
        <v>214.18852790932687</v>
      </c>
      <c r="AF318" s="12">
        <f>IF(AE318-90&lt;0,AE318+270,AE318-90)</f>
        <v>124.18852790932687</v>
      </c>
      <c r="AG318" s="12">
        <f>W318</f>
        <v>26.61246172078623</v>
      </c>
      <c r="AH318" s="48"/>
      <c r="AI318" s="27"/>
      <c r="AM318"/>
    </row>
    <row r="319" spans="1:35" s="54" customFormat="1" ht="12.75" customHeight="1">
      <c r="A319" s="89">
        <f>H319/100+217.611</f>
        <v>218.946</v>
      </c>
      <c r="B319" s="90" t="s">
        <v>49</v>
      </c>
      <c r="C319" s="58" t="s">
        <v>103</v>
      </c>
      <c r="D319" s="58">
        <v>3</v>
      </c>
      <c r="E319" s="55" t="s">
        <v>50</v>
      </c>
      <c r="F319" s="56">
        <v>127</v>
      </c>
      <c r="G319" s="57">
        <v>140</v>
      </c>
      <c r="H319" s="1">
        <f t="shared" si="121"/>
        <v>133.5</v>
      </c>
      <c r="I319" s="59"/>
      <c r="J319" s="55">
        <v>90</v>
      </c>
      <c r="K319" s="60">
        <v>57</v>
      </c>
      <c r="L319" s="60">
        <v>180</v>
      </c>
      <c r="M319" s="60">
        <v>60</v>
      </c>
      <c r="N319" s="60"/>
      <c r="O319" s="61"/>
      <c r="P319" s="38">
        <f t="shared" si="122"/>
        <v>0.4716712402156559</v>
      </c>
      <c r="Q319" s="38">
        <f t="shared" si="123"/>
        <v>-0.41933528397271214</v>
      </c>
      <c r="R319" s="38">
        <f t="shared" si="124"/>
        <v>0.27231951750751365</v>
      </c>
      <c r="S319" s="62">
        <f t="shared" si="125"/>
        <v>318.36157802568994</v>
      </c>
      <c r="T319" s="12">
        <f t="shared" si="126"/>
        <v>23.339438543790397</v>
      </c>
      <c r="U319" s="22">
        <f t="shared" si="127"/>
        <v>138.36157802568994</v>
      </c>
      <c r="V319" s="12">
        <f t="shared" si="128"/>
        <v>48.36157802568994</v>
      </c>
      <c r="W319" s="23">
        <f t="shared" si="129"/>
        <v>66.6605614562096</v>
      </c>
      <c r="X319" s="65"/>
      <c r="Y319" s="66"/>
      <c r="Z319" s="67"/>
      <c r="AA319" s="55"/>
      <c r="AB319" s="58"/>
      <c r="AC319" s="68"/>
      <c r="AD319" s="69"/>
      <c r="AE319" s="22"/>
      <c r="AF319" s="12"/>
      <c r="AG319" s="12"/>
      <c r="AH319" s="48"/>
      <c r="AI319" s="27"/>
    </row>
    <row r="320" spans="1:35" s="54" customFormat="1" ht="12.75" customHeight="1">
      <c r="A320" s="89">
        <f>H320/100+218.917</f>
        <v>219.7795</v>
      </c>
      <c r="B320" s="90" t="s">
        <v>49</v>
      </c>
      <c r="C320" s="58" t="s">
        <v>103</v>
      </c>
      <c r="D320" s="58">
        <v>4</v>
      </c>
      <c r="E320" s="55" t="s">
        <v>44</v>
      </c>
      <c r="F320" s="56">
        <v>85.5</v>
      </c>
      <c r="G320" s="57">
        <v>87</v>
      </c>
      <c r="H320" s="1">
        <f t="shared" si="121"/>
        <v>86.25</v>
      </c>
      <c r="I320" s="59"/>
      <c r="J320" s="55">
        <v>270</v>
      </c>
      <c r="K320" s="60">
        <v>7</v>
      </c>
      <c r="L320" s="60">
        <v>0</v>
      </c>
      <c r="M320" s="60">
        <v>0</v>
      </c>
      <c r="N320" s="60"/>
      <c r="O320" s="61"/>
      <c r="P320" s="38">
        <f t="shared" si="122"/>
        <v>0</v>
      </c>
      <c r="Q320" s="38">
        <f t="shared" si="123"/>
        <v>0.12186934340514748</v>
      </c>
      <c r="R320" s="38">
        <f t="shared" si="124"/>
        <v>0.992546151641322</v>
      </c>
      <c r="S320" s="62">
        <f t="shared" si="125"/>
        <v>90</v>
      </c>
      <c r="T320" s="12">
        <f t="shared" si="126"/>
        <v>82.99999999999997</v>
      </c>
      <c r="U320" s="22">
        <f t="shared" si="127"/>
        <v>270</v>
      </c>
      <c r="V320" s="12">
        <f t="shared" si="128"/>
        <v>180</v>
      </c>
      <c r="W320" s="23">
        <f t="shared" si="129"/>
        <v>7.000000000000028</v>
      </c>
      <c r="X320" s="65"/>
      <c r="Y320" s="66"/>
      <c r="Z320" s="67"/>
      <c r="AA320" s="55"/>
      <c r="AB320" s="58"/>
      <c r="AC320" s="68"/>
      <c r="AD320" s="69"/>
      <c r="AE320" s="22"/>
      <c r="AF320" s="12"/>
      <c r="AG320" s="12"/>
      <c r="AH320" s="48"/>
      <c r="AI320" s="27"/>
    </row>
    <row r="321" spans="1:35" s="54" customFormat="1" ht="12.75" customHeight="1">
      <c r="A321" s="89">
        <f>H321/100+222.398</f>
        <v>223.06799999999998</v>
      </c>
      <c r="B321" s="90" t="s">
        <v>49</v>
      </c>
      <c r="C321" s="58" t="s">
        <v>104</v>
      </c>
      <c r="D321" s="58">
        <v>3</v>
      </c>
      <c r="E321" s="55" t="s">
        <v>44</v>
      </c>
      <c r="F321" s="56">
        <v>66.5</v>
      </c>
      <c r="G321" s="57">
        <v>67.5</v>
      </c>
      <c r="H321" s="1">
        <f t="shared" si="121"/>
        <v>67</v>
      </c>
      <c r="I321" s="59"/>
      <c r="J321" s="55">
        <v>90</v>
      </c>
      <c r="K321" s="60">
        <v>7</v>
      </c>
      <c r="L321" s="60">
        <v>180</v>
      </c>
      <c r="M321" s="60">
        <v>6</v>
      </c>
      <c r="N321" s="60"/>
      <c r="O321" s="61"/>
      <c r="P321" s="38">
        <f aca="true" t="shared" si="133" ref="P321:P327">COS(K321*PI()/180)*SIN(J321*PI()/180)*(SIN((M321)*PI()/180))-(COS((M321)*PI()/180)*SIN(L321*PI()/180))*(SIN(K321*PI()/180))</f>
        <v>0.10374932395329071</v>
      </c>
      <c r="Q321" s="38">
        <f aca="true" t="shared" si="134" ref="Q321:Q327">(SIN(K321*PI()/180))*(COS((M321)*PI()/180)*COS(L321*PI()/180))-(SIN((M321)*PI()/180))*(COS(K321*PI()/180)*COS(J321*PI()/180))</f>
        <v>-0.12120173039057425</v>
      </c>
      <c r="R321" s="38">
        <f aca="true" t="shared" si="135" ref="R321:R327">(COS(K321*PI()/180)*COS(J321*PI()/180))*(COS((M321)*PI()/180)*SIN(L321*PI()/180))-(COS(K321*PI()/180)*SIN(J321*PI()/180))*(COS((M321)*PI()/180)*COS(L321*PI()/180))</f>
        <v>0.9871088799708131</v>
      </c>
      <c r="S321" s="62">
        <f aca="true" t="shared" si="136" ref="S321:S327">IF(P321=0,IF(Q321&gt;=0,90,270),IF(P321&gt;0,IF(Q321&gt;=0,ATAN(Q321/P321)*180/PI(),ATAN(Q321/P321)*180/PI()+360),ATAN(Q321/P321)*180/PI()+180))</f>
        <v>310.5637008680293</v>
      </c>
      <c r="T321" s="12">
        <f aca="true" t="shared" si="137" ref="T321:T327">ASIN(R321/SQRT(P321^2+Q321^2+R321^2))*180/PI()</f>
        <v>80.8189113213849</v>
      </c>
      <c r="U321" s="22">
        <f aca="true" t="shared" si="138" ref="U321:U327">IF(R321&lt;0,S321,IF(S321+180&gt;=360,S321-180,S321+180))</f>
        <v>130.5637008680293</v>
      </c>
      <c r="V321" s="12">
        <f>IF(U321-90&lt;0,U321+270,U321-90)</f>
        <v>40.56370086802929</v>
      </c>
      <c r="W321" s="23">
        <f aca="true" t="shared" si="139" ref="W321:W327">IF(R321&lt;0,90+T321,90-T321)</f>
        <v>9.181088678615097</v>
      </c>
      <c r="X321" s="65"/>
      <c r="Y321" s="66"/>
      <c r="Z321" s="67"/>
      <c r="AA321" s="55"/>
      <c r="AB321" s="58"/>
      <c r="AC321" s="68"/>
      <c r="AD321" s="69"/>
      <c r="AE321" s="22"/>
      <c r="AF321" s="12"/>
      <c r="AG321" s="12"/>
      <c r="AH321" s="48"/>
      <c r="AI321" s="27"/>
    </row>
    <row r="322" spans="1:35" s="54" customFormat="1" ht="12.75" customHeight="1">
      <c r="A322" s="89">
        <f>H322/100+227.625</f>
        <v>228.91</v>
      </c>
      <c r="B322" s="90" t="s">
        <v>49</v>
      </c>
      <c r="C322" s="58" t="s">
        <v>105</v>
      </c>
      <c r="D322" s="58">
        <v>3</v>
      </c>
      <c r="E322" s="55" t="s">
        <v>44</v>
      </c>
      <c r="F322" s="56">
        <v>128</v>
      </c>
      <c r="G322" s="57">
        <v>129</v>
      </c>
      <c r="H322" s="1">
        <f t="shared" si="121"/>
        <v>128.5</v>
      </c>
      <c r="I322" s="59"/>
      <c r="J322" s="55">
        <v>90</v>
      </c>
      <c r="K322" s="60">
        <v>21</v>
      </c>
      <c r="L322" s="60">
        <v>0</v>
      </c>
      <c r="M322" s="60">
        <v>14</v>
      </c>
      <c r="N322" s="60"/>
      <c r="O322" s="61"/>
      <c r="P322" s="38">
        <f t="shared" si="133"/>
        <v>0.2258535464729493</v>
      </c>
      <c r="Q322" s="38">
        <f t="shared" si="134"/>
        <v>0.3477228898780968</v>
      </c>
      <c r="R322" s="38">
        <f t="shared" si="135"/>
        <v>-0.9058490979651569</v>
      </c>
      <c r="S322" s="62">
        <f t="shared" si="136"/>
        <v>56.995403595937105</v>
      </c>
      <c r="T322" s="12">
        <f t="shared" si="137"/>
        <v>-65.40504542302982</v>
      </c>
      <c r="U322" s="22">
        <f t="shared" si="138"/>
        <v>56.995403595937105</v>
      </c>
      <c r="V322" s="12">
        <f>IF(U322-90&lt;0,U322+270,U322-90)</f>
        <v>326.9954035959371</v>
      </c>
      <c r="W322" s="23">
        <f t="shared" si="139"/>
        <v>24.59495457697018</v>
      </c>
      <c r="X322" s="65"/>
      <c r="Y322" s="66"/>
      <c r="Z322" s="67"/>
      <c r="AA322" s="55">
        <v>125</v>
      </c>
      <c r="AB322" s="58">
        <v>132</v>
      </c>
      <c r="AC322" s="68">
        <v>-79.5</v>
      </c>
      <c r="AD322" s="69">
        <v>-48.5</v>
      </c>
      <c r="AE322" s="22">
        <f>IF(AD322&gt;=0,IF(U322&gt;=AC322,U322-AC322,U322-AC322+360),IF((U322-AC322-180)&lt;0,IF(U322-AC322+180&lt;0,U322-AC322+540,U322-AC322+180),U322-AC322-180))</f>
        <v>316.4954035959371</v>
      </c>
      <c r="AF322" s="12">
        <f>IF(AE322-90&lt;0,AE322+270,AE322-90)</f>
        <v>226.4954035959371</v>
      </c>
      <c r="AG322" s="12">
        <f>W322</f>
        <v>24.59495457697018</v>
      </c>
      <c r="AH322" s="48"/>
      <c r="AI322" s="27"/>
    </row>
    <row r="323" spans="1:35" s="54" customFormat="1" ht="12.75" customHeight="1">
      <c r="A323" s="89">
        <f>H323/100+238.45</f>
        <v>239.505</v>
      </c>
      <c r="B323" s="90" t="s">
        <v>49</v>
      </c>
      <c r="C323" s="58" t="s">
        <v>106</v>
      </c>
      <c r="D323" s="58">
        <v>5</v>
      </c>
      <c r="E323" s="55" t="s">
        <v>44</v>
      </c>
      <c r="F323" s="56">
        <v>105</v>
      </c>
      <c r="G323" s="57">
        <v>106</v>
      </c>
      <c r="H323" s="1">
        <f aca="true" t="shared" si="140" ref="H323:H386">(F323+G323)/2</f>
        <v>105.5</v>
      </c>
      <c r="I323" s="59"/>
      <c r="J323" s="55">
        <v>270</v>
      </c>
      <c r="K323" s="60">
        <v>10</v>
      </c>
      <c r="L323" s="60">
        <v>180</v>
      </c>
      <c r="M323" s="60">
        <v>17</v>
      </c>
      <c r="N323" s="60"/>
      <c r="O323" s="61"/>
      <c r="P323" s="38">
        <f t="shared" si="133"/>
        <v>-0.28792992157234715</v>
      </c>
      <c r="Q323" s="38">
        <f t="shared" si="134"/>
        <v>-0.16606057816719957</v>
      </c>
      <c r="R323" s="38">
        <f t="shared" si="135"/>
        <v>-0.9417763379148448</v>
      </c>
      <c r="S323" s="62">
        <f t="shared" si="136"/>
        <v>209.97375004782154</v>
      </c>
      <c r="T323" s="12">
        <f t="shared" si="137"/>
        <v>-70.56032753415859</v>
      </c>
      <c r="U323" s="22">
        <f t="shared" si="138"/>
        <v>209.97375004782154</v>
      </c>
      <c r="V323" s="12">
        <f>IF(U323-90&lt;0,U323+270,U323-90)</f>
        <v>119.97375004782154</v>
      </c>
      <c r="W323" s="23">
        <f t="shared" si="139"/>
        <v>19.43967246584141</v>
      </c>
      <c r="X323" s="65"/>
      <c r="Y323" s="66"/>
      <c r="Z323" s="67"/>
      <c r="AA323" s="55"/>
      <c r="AB323" s="58"/>
      <c r="AC323" s="68"/>
      <c r="AD323" s="69"/>
      <c r="AE323" s="22"/>
      <c r="AF323" s="12"/>
      <c r="AG323" s="12"/>
      <c r="AH323" s="48"/>
      <c r="AI323" s="27"/>
    </row>
    <row r="324" spans="1:35" s="54" customFormat="1" ht="12.75" customHeight="1">
      <c r="A324" s="89">
        <f>H324/100+239.86</f>
        <v>240.32500000000002</v>
      </c>
      <c r="B324" s="90" t="s">
        <v>49</v>
      </c>
      <c r="C324" s="58" t="s">
        <v>106</v>
      </c>
      <c r="D324" s="58">
        <v>6</v>
      </c>
      <c r="E324" s="55" t="s">
        <v>44</v>
      </c>
      <c r="F324" s="56">
        <v>46</v>
      </c>
      <c r="G324" s="57">
        <v>47</v>
      </c>
      <c r="H324" s="1">
        <f t="shared" si="140"/>
        <v>46.5</v>
      </c>
      <c r="I324" s="59"/>
      <c r="J324" s="55">
        <v>270</v>
      </c>
      <c r="K324" s="60">
        <v>3</v>
      </c>
      <c r="L324" s="60">
        <v>0</v>
      </c>
      <c r="M324" s="60">
        <v>4</v>
      </c>
      <c r="N324" s="60"/>
      <c r="O324" s="61"/>
      <c r="P324" s="38">
        <f t="shared" si="133"/>
        <v>-0.06966087492121549</v>
      </c>
      <c r="Q324" s="38">
        <f t="shared" si="134"/>
        <v>0.05220846848393199</v>
      </c>
      <c r="R324" s="38">
        <f t="shared" si="135"/>
        <v>0.9961969233988566</v>
      </c>
      <c r="S324" s="62">
        <f t="shared" si="136"/>
        <v>143.14968288059936</v>
      </c>
      <c r="T324" s="12">
        <f t="shared" si="137"/>
        <v>85.00583060689412</v>
      </c>
      <c r="U324" s="22">
        <f t="shared" si="138"/>
        <v>323.14968288059936</v>
      </c>
      <c r="V324" s="12">
        <f>IF(U324-90&lt;0,U324+270,U324-90)</f>
        <v>233.14968288059936</v>
      </c>
      <c r="W324" s="23">
        <f t="shared" si="139"/>
        <v>4.994169393105878</v>
      </c>
      <c r="X324" s="65"/>
      <c r="Y324" s="66"/>
      <c r="Z324" s="67"/>
      <c r="AA324" s="55"/>
      <c r="AB324" s="58"/>
      <c r="AC324" s="68"/>
      <c r="AD324" s="69"/>
      <c r="AE324" s="22"/>
      <c r="AF324" s="12"/>
      <c r="AG324" s="12"/>
      <c r="AH324" s="48"/>
      <c r="AI324" s="27"/>
    </row>
    <row r="325" spans="1:35" s="54" customFormat="1" ht="12.75" customHeight="1">
      <c r="A325" s="89">
        <f>H325/100+241.5</f>
        <v>242.21</v>
      </c>
      <c r="B325" s="90" t="s">
        <v>49</v>
      </c>
      <c r="C325" s="58" t="s">
        <v>112</v>
      </c>
      <c r="D325" s="58">
        <v>1</v>
      </c>
      <c r="E325" s="55" t="s">
        <v>149</v>
      </c>
      <c r="F325" s="56">
        <v>70</v>
      </c>
      <c r="G325" s="57">
        <v>72</v>
      </c>
      <c r="H325" s="11">
        <f t="shared" si="140"/>
        <v>71</v>
      </c>
      <c r="I325" s="59"/>
      <c r="J325" s="55">
        <v>270</v>
      </c>
      <c r="K325" s="60">
        <v>13</v>
      </c>
      <c r="L325" s="60">
        <v>13</v>
      </c>
      <c r="M325" s="60">
        <v>0</v>
      </c>
      <c r="N325" s="60"/>
      <c r="O325" s="61"/>
      <c r="P325" s="38">
        <f t="shared" si="133"/>
        <v>-0.05060297685041651</v>
      </c>
      <c r="Q325" s="38">
        <f t="shared" si="134"/>
        <v>0.21918557339453873</v>
      </c>
      <c r="R325" s="38">
        <f t="shared" si="135"/>
        <v>0.9493970231495835</v>
      </c>
      <c r="S325" s="62">
        <f t="shared" si="136"/>
        <v>102.99999999999999</v>
      </c>
      <c r="T325" s="12">
        <f t="shared" si="137"/>
        <v>76.67010503719078</v>
      </c>
      <c r="U325" s="22">
        <f t="shared" si="138"/>
        <v>283</v>
      </c>
      <c r="V325" s="12">
        <f>IF(U325-90&lt;0,U325+270,U325-90)</f>
        <v>193</v>
      </c>
      <c r="W325" s="23">
        <f t="shared" si="139"/>
        <v>13.32989496280922</v>
      </c>
      <c r="X325" s="65"/>
      <c r="Y325" s="66"/>
      <c r="Z325" s="67"/>
      <c r="AA325" s="55"/>
      <c r="AB325" s="58"/>
      <c r="AC325" s="68"/>
      <c r="AD325" s="69"/>
      <c r="AE325" s="22"/>
      <c r="AF325" s="12"/>
      <c r="AG325" s="12"/>
      <c r="AH325" s="48"/>
      <c r="AI325" s="27"/>
    </row>
    <row r="326" spans="1:35" s="54" customFormat="1" ht="12.75" customHeight="1">
      <c r="A326" s="89">
        <f>H326/100+244.022</f>
        <v>244.12699999999998</v>
      </c>
      <c r="B326" s="90" t="s">
        <v>49</v>
      </c>
      <c r="C326" s="58" t="s">
        <v>112</v>
      </c>
      <c r="D326" s="58">
        <v>3</v>
      </c>
      <c r="E326" s="55" t="s">
        <v>44</v>
      </c>
      <c r="F326" s="56">
        <v>10</v>
      </c>
      <c r="G326" s="57">
        <v>11</v>
      </c>
      <c r="H326" s="11">
        <f t="shared" si="140"/>
        <v>10.5</v>
      </c>
      <c r="I326" s="59"/>
      <c r="J326" s="55">
        <v>270</v>
      </c>
      <c r="K326" s="60">
        <v>15</v>
      </c>
      <c r="L326" s="60">
        <v>180</v>
      </c>
      <c r="M326" s="60">
        <v>5</v>
      </c>
      <c r="N326" s="60"/>
      <c r="O326" s="61"/>
      <c r="P326" s="38">
        <f t="shared" si="133"/>
        <v>-0.08418598282936922</v>
      </c>
      <c r="Q326" s="38">
        <f t="shared" si="134"/>
        <v>-0.25783416049629954</v>
      </c>
      <c r="R326" s="38">
        <f t="shared" si="135"/>
        <v>-0.9622501868990583</v>
      </c>
      <c r="S326" s="62">
        <f t="shared" si="136"/>
        <v>251.91751116596504</v>
      </c>
      <c r="T326" s="12">
        <f t="shared" si="137"/>
        <v>-74.25841616157518</v>
      </c>
      <c r="U326" s="22">
        <f t="shared" si="138"/>
        <v>251.91751116596504</v>
      </c>
      <c r="V326" s="12">
        <f>IF(U326-90&lt;0,U326+270,U326-90)</f>
        <v>161.91751116596504</v>
      </c>
      <c r="W326" s="23">
        <f t="shared" si="139"/>
        <v>15.741583838424816</v>
      </c>
      <c r="X326" s="65"/>
      <c r="Y326" s="66"/>
      <c r="Z326" s="67"/>
      <c r="AA326" s="55"/>
      <c r="AB326" s="58"/>
      <c r="AC326" s="68"/>
      <c r="AD326" s="69"/>
      <c r="AE326" s="22"/>
      <c r="AF326" s="12"/>
      <c r="AG326" s="12"/>
      <c r="AH326" s="48"/>
      <c r="AI326" s="27"/>
    </row>
    <row r="327" spans="1:35" s="54" customFormat="1" ht="12.75" customHeight="1">
      <c r="A327" s="89">
        <f>H327/100+249.172</f>
        <v>249.822</v>
      </c>
      <c r="B327" s="90" t="s">
        <v>49</v>
      </c>
      <c r="C327" s="58" t="s">
        <v>113</v>
      </c>
      <c r="D327" s="58">
        <v>4</v>
      </c>
      <c r="E327" s="55" t="s">
        <v>149</v>
      </c>
      <c r="F327" s="56">
        <v>63</v>
      </c>
      <c r="G327" s="57">
        <v>67</v>
      </c>
      <c r="H327" s="11">
        <f t="shared" si="140"/>
        <v>65</v>
      </c>
      <c r="I327" s="59"/>
      <c r="J327" s="55">
        <v>90</v>
      </c>
      <c r="K327" s="60">
        <v>5</v>
      </c>
      <c r="L327" s="60">
        <v>0</v>
      </c>
      <c r="M327" s="60">
        <v>13</v>
      </c>
      <c r="N327" s="60"/>
      <c r="O327" s="61"/>
      <c r="P327" s="38">
        <f t="shared" si="133"/>
        <v>0.22409504766750643</v>
      </c>
      <c r="Q327" s="38">
        <f t="shared" si="134"/>
        <v>0.08492194670744097</v>
      </c>
      <c r="R327" s="38">
        <f t="shared" si="135"/>
        <v>-0.970662292518362</v>
      </c>
      <c r="S327" s="62">
        <f t="shared" si="136"/>
        <v>20.754455439402076</v>
      </c>
      <c r="T327" s="12">
        <f t="shared" si="137"/>
        <v>-76.13161806227085</v>
      </c>
      <c r="U327" s="22">
        <f t="shared" si="138"/>
        <v>20.754455439402076</v>
      </c>
      <c r="V327" s="12">
        <f>IF(U327-90&lt;0,U327+270,U327-90)</f>
        <v>290.7544554394021</v>
      </c>
      <c r="W327" s="23">
        <f t="shared" si="139"/>
        <v>13.868381937729154</v>
      </c>
      <c r="X327" s="65"/>
      <c r="Y327" s="66"/>
      <c r="Z327" s="67"/>
      <c r="AA327" s="55"/>
      <c r="AB327" s="58"/>
      <c r="AC327" s="68"/>
      <c r="AD327" s="69"/>
      <c r="AE327" s="22"/>
      <c r="AF327" s="12"/>
      <c r="AG327" s="12"/>
      <c r="AH327" s="48"/>
      <c r="AI327" s="27"/>
    </row>
    <row r="328" spans="1:35" s="54" customFormat="1" ht="12.75" customHeight="1">
      <c r="A328" s="89">
        <f>H328/100+251.5</f>
        <v>252.715</v>
      </c>
      <c r="B328" s="90" t="s">
        <v>49</v>
      </c>
      <c r="C328" s="58" t="s">
        <v>107</v>
      </c>
      <c r="D328" s="58">
        <v>1</v>
      </c>
      <c r="E328" s="55" t="s">
        <v>44</v>
      </c>
      <c r="F328" s="56">
        <v>120.5</v>
      </c>
      <c r="G328" s="57">
        <v>122.5</v>
      </c>
      <c r="H328" s="1">
        <f t="shared" si="140"/>
        <v>121.5</v>
      </c>
      <c r="I328" s="59"/>
      <c r="J328" s="55"/>
      <c r="K328" s="60"/>
      <c r="L328" s="60"/>
      <c r="M328" s="60"/>
      <c r="N328" s="60"/>
      <c r="O328" s="61"/>
      <c r="P328" s="38"/>
      <c r="Q328" s="38"/>
      <c r="R328" s="38"/>
      <c r="S328" s="62"/>
      <c r="T328" s="12"/>
      <c r="U328" s="22"/>
      <c r="V328" s="12"/>
      <c r="W328" s="23"/>
      <c r="X328" s="65"/>
      <c r="Y328" s="66"/>
      <c r="Z328" s="67"/>
      <c r="AA328" s="55"/>
      <c r="AB328" s="58"/>
      <c r="AC328" s="68"/>
      <c r="AD328" s="69"/>
      <c r="AE328" s="22"/>
      <c r="AF328" s="12"/>
      <c r="AG328" s="12"/>
      <c r="AH328" s="48"/>
      <c r="AI328" s="27"/>
    </row>
    <row r="329" spans="1:36" s="54" customFormat="1" ht="12.75" customHeight="1">
      <c r="A329" s="89">
        <f>H329/100+251.5</f>
        <v>252.8275</v>
      </c>
      <c r="B329" s="90" t="s">
        <v>49</v>
      </c>
      <c r="C329" s="58" t="s">
        <v>107</v>
      </c>
      <c r="D329" s="58">
        <v>1</v>
      </c>
      <c r="E329" s="55" t="s">
        <v>149</v>
      </c>
      <c r="F329" s="56">
        <v>132</v>
      </c>
      <c r="G329" s="57">
        <v>133.5</v>
      </c>
      <c r="H329" s="1">
        <f t="shared" si="140"/>
        <v>132.75</v>
      </c>
      <c r="I329" s="59"/>
      <c r="J329" s="55">
        <v>90</v>
      </c>
      <c r="K329" s="60">
        <v>10</v>
      </c>
      <c r="L329" s="60">
        <v>0</v>
      </c>
      <c r="M329" s="60">
        <v>4</v>
      </c>
      <c r="N329" s="60"/>
      <c r="O329" s="61"/>
      <c r="P329" s="38">
        <f aca="true" t="shared" si="141" ref="P329:P346">COS(K329*PI()/180)*SIN(J329*PI()/180)*(SIN((M329)*PI()/180))-(COS((M329)*PI()/180)*SIN(L329*PI()/180))*(SIN(K329*PI()/180))</f>
        <v>0.06869671616600713</v>
      </c>
      <c r="Q329" s="38">
        <f aca="true" t="shared" si="142" ref="Q329:Q346">(SIN(K329*PI()/180))*(COS((M329)*PI()/180)*COS(L329*PI()/180))-(SIN((M329)*PI()/180))*(COS(K329*PI()/180)*COS(J329*PI()/180))</f>
        <v>0.17322517943366056</v>
      </c>
      <c r="R329" s="38">
        <f aca="true" t="shared" si="143" ref="R329:R346">(COS(K329*PI()/180)*COS(J329*PI()/180))*(COS((M329)*PI()/180)*SIN(L329*PI()/180))-(COS(K329*PI()/180)*SIN(J329*PI()/180))*(COS((M329)*PI()/180)*COS(L329*PI()/180))</f>
        <v>-0.9824088108221348</v>
      </c>
      <c r="S329" s="62">
        <f aca="true" t="shared" si="144" ref="S329:S346">IF(P329=0,IF(Q329&gt;=0,90,270),IF(P329&gt;0,IF(Q329&gt;=0,ATAN(Q329/P329)*180/PI(),ATAN(Q329/P329)*180/PI()+360),ATAN(Q329/P329)*180/PI()+180))</f>
        <v>68.3679777492164</v>
      </c>
      <c r="T329" s="12">
        <f aca="true" t="shared" si="145" ref="T329:T346">ASIN(R329/SQRT(P329^2+Q329^2+R329^2))*180/PI()</f>
        <v>-79.25937103879262</v>
      </c>
      <c r="U329" s="22">
        <f aca="true" t="shared" si="146" ref="U329:U346">IF(R329&lt;0,S329,IF(S329+180&gt;=360,S329-180,S329+180))</f>
        <v>68.3679777492164</v>
      </c>
      <c r="V329" s="12">
        <f aca="true" t="shared" si="147" ref="V329:V346">IF(U329-90&lt;0,U329+270,U329-90)</f>
        <v>338.3679777492164</v>
      </c>
      <c r="W329" s="23">
        <f aca="true" t="shared" si="148" ref="W329:W346">IF(R329&lt;0,90+T329,90-T329)</f>
        <v>10.740628961207378</v>
      </c>
      <c r="X329" s="65"/>
      <c r="Y329" s="66"/>
      <c r="Z329" s="67"/>
      <c r="AA329" s="55">
        <v>130.5</v>
      </c>
      <c r="AB329" s="58">
        <v>135</v>
      </c>
      <c r="AC329" s="68">
        <v>135.3</v>
      </c>
      <c r="AD329" s="69">
        <v>-55.6</v>
      </c>
      <c r="AE329" s="22">
        <f>IF(AD329&gt;=0,IF(U329&gt;=AC329,U329-AC329,U329-AC329+360),IF((U329-AC329-180)&lt;0,IF(U329-AC329+180&lt;0,U329-AC329+540,U329-AC329+180),U329-AC329-180))</f>
        <v>113.06797774921638</v>
      </c>
      <c r="AF329" s="12">
        <f>IF(AE329-90&lt;0,AE329+270,AE329-90)</f>
        <v>23.067977749216382</v>
      </c>
      <c r="AG329" s="12">
        <f>W329</f>
        <v>10.740628961207378</v>
      </c>
      <c r="AH329" s="48"/>
      <c r="AI329" s="27"/>
      <c r="AJ329" s="58"/>
    </row>
    <row r="330" spans="1:35" s="54" customFormat="1" ht="12.75" customHeight="1">
      <c r="A330" s="89">
        <f>H330/100+253.441</f>
        <v>253.5335</v>
      </c>
      <c r="B330" s="90" t="s">
        <v>49</v>
      </c>
      <c r="C330" s="58" t="s">
        <v>107</v>
      </c>
      <c r="D330" s="58">
        <v>3</v>
      </c>
      <c r="E330" s="55" t="s">
        <v>44</v>
      </c>
      <c r="F330" s="56">
        <v>8.5</v>
      </c>
      <c r="G330" s="57">
        <v>10</v>
      </c>
      <c r="H330" s="1">
        <f t="shared" si="140"/>
        <v>9.25</v>
      </c>
      <c r="I330" s="59"/>
      <c r="J330" s="55">
        <v>90</v>
      </c>
      <c r="K330" s="60">
        <v>19</v>
      </c>
      <c r="L330" s="60">
        <v>0</v>
      </c>
      <c r="M330" s="60">
        <v>8</v>
      </c>
      <c r="N330" s="60"/>
      <c r="O330" s="61"/>
      <c r="P330" s="38">
        <f t="shared" si="141"/>
        <v>0.131590752181501</v>
      </c>
      <c r="Q330" s="38">
        <f t="shared" si="142"/>
        <v>0.3223997475580458</v>
      </c>
      <c r="R330" s="38">
        <f t="shared" si="143"/>
        <v>-0.936316853818016</v>
      </c>
      <c r="S330" s="62">
        <f t="shared" si="144"/>
        <v>67.79667098980111</v>
      </c>
      <c r="T330" s="12">
        <f t="shared" si="145"/>
        <v>-69.59958713358328</v>
      </c>
      <c r="U330" s="22">
        <f t="shared" si="146"/>
        <v>67.79667098980111</v>
      </c>
      <c r="V330" s="12">
        <f t="shared" si="147"/>
        <v>337.7966709898011</v>
      </c>
      <c r="W330" s="23">
        <f t="shared" si="148"/>
        <v>20.400412866416715</v>
      </c>
      <c r="X330" s="65"/>
      <c r="Y330" s="66"/>
      <c r="Z330" s="67"/>
      <c r="AA330" s="55"/>
      <c r="AB330" s="58"/>
      <c r="AC330" s="68"/>
      <c r="AD330" s="69"/>
      <c r="AE330" s="22"/>
      <c r="AF330" s="12"/>
      <c r="AG330" s="12"/>
      <c r="AH330" s="48"/>
      <c r="AI330" s="27"/>
    </row>
    <row r="331" spans="1:35" s="54" customFormat="1" ht="12.75" customHeight="1">
      <c r="A331" s="89">
        <f>H331/100+255.662</f>
        <v>255.717</v>
      </c>
      <c r="B331" s="90" t="s">
        <v>49</v>
      </c>
      <c r="C331" s="58" t="s">
        <v>107</v>
      </c>
      <c r="D331" s="58">
        <v>6</v>
      </c>
      <c r="E331" s="55" t="s">
        <v>44</v>
      </c>
      <c r="F331" s="56">
        <v>5</v>
      </c>
      <c r="G331" s="57">
        <v>6</v>
      </c>
      <c r="H331" s="1">
        <f t="shared" si="140"/>
        <v>5.5</v>
      </c>
      <c r="I331" s="59"/>
      <c r="J331" s="55">
        <v>90</v>
      </c>
      <c r="K331" s="60">
        <v>4</v>
      </c>
      <c r="L331" s="60">
        <v>0</v>
      </c>
      <c r="M331" s="60">
        <v>10</v>
      </c>
      <c r="N331" s="60"/>
      <c r="O331" s="61"/>
      <c r="P331" s="38">
        <f t="shared" si="141"/>
        <v>0.17322517943366056</v>
      </c>
      <c r="Q331" s="38">
        <f t="shared" si="142"/>
        <v>0.06869671616600712</v>
      </c>
      <c r="R331" s="38">
        <f t="shared" si="143"/>
        <v>-0.9824088108221348</v>
      </c>
      <c r="S331" s="62">
        <f t="shared" si="144"/>
        <v>21.63202225078361</v>
      </c>
      <c r="T331" s="12">
        <f t="shared" si="145"/>
        <v>-79.25937103879262</v>
      </c>
      <c r="U331" s="22">
        <f t="shared" si="146"/>
        <v>21.63202225078361</v>
      </c>
      <c r="V331" s="12">
        <f t="shared" si="147"/>
        <v>291.6320222507836</v>
      </c>
      <c r="W331" s="23">
        <f t="shared" si="148"/>
        <v>10.740628961207378</v>
      </c>
      <c r="X331" s="65"/>
      <c r="Y331" s="66"/>
      <c r="Z331" s="67"/>
      <c r="AA331" s="55"/>
      <c r="AB331" s="58"/>
      <c r="AC331" s="68"/>
      <c r="AD331" s="69"/>
      <c r="AE331" s="22"/>
      <c r="AF331" s="12"/>
      <c r="AG331" s="12"/>
      <c r="AH331" s="48"/>
      <c r="AI331" s="27"/>
    </row>
    <row r="332" spans="1:35" s="54" customFormat="1" ht="12.75" customHeight="1">
      <c r="A332" s="89">
        <f>H332/100+254.69</f>
        <v>255.725</v>
      </c>
      <c r="B332" s="90" t="s">
        <v>49</v>
      </c>
      <c r="C332" s="58" t="s">
        <v>107</v>
      </c>
      <c r="D332" s="58">
        <v>5</v>
      </c>
      <c r="E332" s="55" t="s">
        <v>44</v>
      </c>
      <c r="F332" s="56">
        <v>103.5</v>
      </c>
      <c r="G332" s="57">
        <v>103.5</v>
      </c>
      <c r="H332" s="1">
        <f t="shared" si="140"/>
        <v>103.5</v>
      </c>
      <c r="I332" s="59"/>
      <c r="J332" s="55">
        <v>90</v>
      </c>
      <c r="K332" s="60">
        <v>0</v>
      </c>
      <c r="L332" s="60">
        <v>180</v>
      </c>
      <c r="M332" s="60">
        <v>13</v>
      </c>
      <c r="N332" s="60"/>
      <c r="O332" s="61"/>
      <c r="P332" s="38">
        <f t="shared" si="141"/>
        <v>0.224951054343865</v>
      </c>
      <c r="Q332" s="38">
        <f t="shared" si="142"/>
        <v>-1.3779921832972561E-17</v>
      </c>
      <c r="R332" s="38">
        <f t="shared" si="143"/>
        <v>0.9743700647852352</v>
      </c>
      <c r="S332" s="62">
        <f t="shared" si="144"/>
        <v>360</v>
      </c>
      <c r="T332" s="12">
        <f t="shared" si="145"/>
        <v>77.00000000000001</v>
      </c>
      <c r="U332" s="22">
        <f t="shared" si="146"/>
        <v>180</v>
      </c>
      <c r="V332" s="12">
        <f t="shared" si="147"/>
        <v>90</v>
      </c>
      <c r="W332" s="23">
        <f t="shared" si="148"/>
        <v>12.999999999999986</v>
      </c>
      <c r="X332" s="65"/>
      <c r="Y332" s="66"/>
      <c r="Z332" s="67"/>
      <c r="AA332" s="55"/>
      <c r="AB332" s="58"/>
      <c r="AC332" s="68"/>
      <c r="AD332" s="69"/>
      <c r="AE332" s="22"/>
      <c r="AF332" s="12"/>
      <c r="AG332" s="12"/>
      <c r="AH332" s="48"/>
      <c r="AI332" s="27"/>
    </row>
    <row r="333" spans="1:39" s="54" customFormat="1" ht="12.75" customHeight="1">
      <c r="A333" s="89">
        <f>H333/100+254.69</f>
        <v>255.855</v>
      </c>
      <c r="B333" s="90" t="s">
        <v>49</v>
      </c>
      <c r="C333" s="58" t="s">
        <v>107</v>
      </c>
      <c r="D333" s="58">
        <v>5</v>
      </c>
      <c r="E333" s="55" t="s">
        <v>108</v>
      </c>
      <c r="F333" s="56">
        <v>116</v>
      </c>
      <c r="G333" s="57">
        <v>117</v>
      </c>
      <c r="H333" s="1">
        <f t="shared" si="140"/>
        <v>116.5</v>
      </c>
      <c r="I333" s="59"/>
      <c r="J333" s="55">
        <v>90</v>
      </c>
      <c r="K333" s="60">
        <v>3</v>
      </c>
      <c r="L333" s="60">
        <v>180</v>
      </c>
      <c r="M333" s="60">
        <v>4</v>
      </c>
      <c r="N333" s="60"/>
      <c r="O333" s="61"/>
      <c r="P333" s="38">
        <f t="shared" si="141"/>
        <v>0.06966087492121549</v>
      </c>
      <c r="Q333" s="38">
        <f t="shared" si="142"/>
        <v>-0.052208468483931986</v>
      </c>
      <c r="R333" s="38">
        <f t="shared" si="143"/>
        <v>0.9961969233988566</v>
      </c>
      <c r="S333" s="62">
        <f t="shared" si="144"/>
        <v>323.14968288059936</v>
      </c>
      <c r="T333" s="12">
        <f t="shared" si="145"/>
        <v>85.00583060689412</v>
      </c>
      <c r="U333" s="22">
        <f t="shared" si="146"/>
        <v>143.14968288059936</v>
      </c>
      <c r="V333" s="12">
        <f t="shared" si="147"/>
        <v>53.14968288059936</v>
      </c>
      <c r="W333" s="23">
        <f t="shared" si="148"/>
        <v>4.994169393105878</v>
      </c>
      <c r="X333" s="65"/>
      <c r="Y333" s="66"/>
      <c r="Z333" s="67"/>
      <c r="AA333" s="55">
        <v>113.5</v>
      </c>
      <c r="AB333" s="58">
        <v>119</v>
      </c>
      <c r="AC333" s="68">
        <v>-64.2</v>
      </c>
      <c r="AD333" s="69">
        <v>30.1</v>
      </c>
      <c r="AE333" s="22">
        <f>IF(AD333&gt;=0,IF(U333&gt;=AC333,U333-AC333,U333-AC333+360),IF((U333-AC333-180)&lt;0,IF(U333-AC333+180&lt;0,U333-AC333+540,U333-AC333+180),U333-AC333-180))</f>
        <v>207.34968288059935</v>
      </c>
      <c r="AF333" s="12">
        <f>IF(AE333-90&lt;0,AE333+270,AE333-90)</f>
        <v>117.34968288059935</v>
      </c>
      <c r="AG333" s="12">
        <f>W333</f>
        <v>4.994169393105878</v>
      </c>
      <c r="AH333" s="48"/>
      <c r="AI333" s="27"/>
      <c r="AJ333" s="58"/>
      <c r="AM333"/>
    </row>
    <row r="334" spans="1:35" s="54" customFormat="1" ht="12.75" customHeight="1">
      <c r="A334" s="89">
        <f>H334/100+256.5</f>
        <v>257.1825</v>
      </c>
      <c r="B334" s="90" t="s">
        <v>49</v>
      </c>
      <c r="C334" s="58" t="s">
        <v>120</v>
      </c>
      <c r="D334" s="58">
        <v>1</v>
      </c>
      <c r="E334" s="55" t="s">
        <v>121</v>
      </c>
      <c r="F334" s="56">
        <v>68</v>
      </c>
      <c r="G334" s="57">
        <v>68.5</v>
      </c>
      <c r="H334" s="11">
        <f t="shared" si="140"/>
        <v>68.25</v>
      </c>
      <c r="I334" s="59"/>
      <c r="J334" s="55">
        <v>270</v>
      </c>
      <c r="K334" s="60">
        <v>7</v>
      </c>
      <c r="L334" s="60">
        <v>180</v>
      </c>
      <c r="M334" s="60">
        <v>1</v>
      </c>
      <c r="N334" s="60"/>
      <c r="O334" s="61"/>
      <c r="P334" s="38">
        <f t="shared" si="141"/>
        <v>-0.017322318846205997</v>
      </c>
      <c r="Q334" s="38">
        <f t="shared" si="142"/>
        <v>-0.12185078211385945</v>
      </c>
      <c r="R334" s="38">
        <f t="shared" si="143"/>
        <v>-0.9923949820549218</v>
      </c>
      <c r="S334" s="62">
        <f t="shared" si="144"/>
        <v>261.909040562702</v>
      </c>
      <c r="T334" s="12">
        <f t="shared" si="145"/>
        <v>-82.93032926402522</v>
      </c>
      <c r="U334" s="22">
        <f t="shared" si="146"/>
        <v>261.909040562702</v>
      </c>
      <c r="V334" s="12">
        <f t="shared" si="147"/>
        <v>171.909040562702</v>
      </c>
      <c r="W334" s="23">
        <f t="shared" si="148"/>
        <v>7.069670735974782</v>
      </c>
      <c r="X334" s="65"/>
      <c r="Y334" s="66"/>
      <c r="Z334" s="67"/>
      <c r="AA334" s="55">
        <v>66.5</v>
      </c>
      <c r="AB334" s="58">
        <v>70</v>
      </c>
      <c r="AC334" s="68">
        <v>134</v>
      </c>
      <c r="AD334" s="69">
        <v>-11.1</v>
      </c>
      <c r="AE334" s="22">
        <f>IF(AD334&gt;=0,IF(U334&gt;=AC334,U334-AC334,U334-AC334+360),IF((U334-AC334-180)&lt;0,IF(U334-AC334+180&lt;0,U334-AC334+540,U334-AC334+180),U334-AC334-180))</f>
        <v>307.909040562702</v>
      </c>
      <c r="AF334" s="12">
        <f>IF(AE334-90&lt;0,AE334+270,AE334-90)</f>
        <v>217.909040562702</v>
      </c>
      <c r="AG334" s="12">
        <f>W334</f>
        <v>7.069670735974782</v>
      </c>
      <c r="AH334" s="48"/>
      <c r="AI334" s="27"/>
    </row>
    <row r="335" spans="1:39" s="54" customFormat="1" ht="12.75" customHeight="1">
      <c r="A335" s="89">
        <f>H335/100+266</f>
        <v>266.515</v>
      </c>
      <c r="B335" s="90" t="s">
        <v>49</v>
      </c>
      <c r="C335" s="58" t="s">
        <v>122</v>
      </c>
      <c r="D335" s="58">
        <v>1</v>
      </c>
      <c r="E335" s="55" t="s">
        <v>123</v>
      </c>
      <c r="F335" s="56">
        <v>51</v>
      </c>
      <c r="G335" s="57">
        <v>52</v>
      </c>
      <c r="H335" s="11">
        <f t="shared" si="140"/>
        <v>51.5</v>
      </c>
      <c r="I335" s="59"/>
      <c r="J335" s="55">
        <v>90</v>
      </c>
      <c r="K335" s="60">
        <v>12</v>
      </c>
      <c r="L335" s="60">
        <v>180</v>
      </c>
      <c r="M335" s="60">
        <v>29</v>
      </c>
      <c r="N335" s="60"/>
      <c r="O335" s="61"/>
      <c r="P335" s="38">
        <f t="shared" si="141"/>
        <v>0.4742153668566221</v>
      </c>
      <c r="Q335" s="38">
        <f t="shared" si="142"/>
        <v>-0.18184366213388528</v>
      </c>
      <c r="R335" s="38">
        <f t="shared" si="143"/>
        <v>0.8555071680929037</v>
      </c>
      <c r="S335" s="62">
        <f t="shared" si="144"/>
        <v>339.02006990450616</v>
      </c>
      <c r="T335" s="12">
        <f t="shared" si="145"/>
        <v>59.30385391039222</v>
      </c>
      <c r="U335" s="22">
        <f t="shared" si="146"/>
        <v>159.02006990450616</v>
      </c>
      <c r="V335" s="12">
        <f t="shared" si="147"/>
        <v>69.02006990450616</v>
      </c>
      <c r="W335" s="23">
        <f t="shared" si="148"/>
        <v>30.69614608960778</v>
      </c>
      <c r="X335" s="65"/>
      <c r="Y335" s="66"/>
      <c r="Z335" s="67"/>
      <c r="AA335" s="55">
        <v>50</v>
      </c>
      <c r="AB335" s="58">
        <v>53</v>
      </c>
      <c r="AC335" s="68">
        <v>-142.9</v>
      </c>
      <c r="AD335" s="69">
        <v>68.2</v>
      </c>
      <c r="AE335" s="22">
        <f>IF(AD335&gt;=0,IF(U335&gt;=AC335,U335-AC335,U335-AC335+360),IF((U335-AC335-180)&lt;0,IF(U335-AC335+180&lt;0,U335-AC335+540,U335-AC335+180),U335-AC335-180))</f>
        <v>301.92006990450614</v>
      </c>
      <c r="AF335" s="12">
        <f>IF(AE335-90&lt;0,AE335+270,AE335-90)</f>
        <v>211.92006990450614</v>
      </c>
      <c r="AG335" s="12">
        <f>W335</f>
        <v>30.69614608960778</v>
      </c>
      <c r="AH335" s="48"/>
      <c r="AI335" s="27"/>
      <c r="AM335"/>
    </row>
    <row r="336" spans="1:35" s="54" customFormat="1" ht="12.75" customHeight="1">
      <c r="A336" s="89">
        <f>H336/100+269.983</f>
        <v>270.298</v>
      </c>
      <c r="B336" s="90" t="s">
        <v>49</v>
      </c>
      <c r="C336" s="58" t="s">
        <v>122</v>
      </c>
      <c r="D336" s="58">
        <v>4</v>
      </c>
      <c r="E336" s="55" t="s">
        <v>121</v>
      </c>
      <c r="F336" s="56">
        <v>30</v>
      </c>
      <c r="G336" s="57">
        <v>33</v>
      </c>
      <c r="H336" s="11">
        <f t="shared" si="140"/>
        <v>31.5</v>
      </c>
      <c r="I336" s="59"/>
      <c r="J336" s="55">
        <v>90</v>
      </c>
      <c r="K336" s="60">
        <v>15</v>
      </c>
      <c r="L336" s="60">
        <v>180</v>
      </c>
      <c r="M336" s="60">
        <v>13</v>
      </c>
      <c r="N336" s="60"/>
      <c r="O336" s="61"/>
      <c r="P336" s="38">
        <f t="shared" si="141"/>
        <v>0.2172860330416949</v>
      </c>
      <c r="Q336" s="38">
        <f t="shared" si="142"/>
        <v>-0.25218552974419584</v>
      </c>
      <c r="R336" s="38">
        <f t="shared" si="143"/>
        <v>0.9411692099390114</v>
      </c>
      <c r="S336" s="62">
        <f t="shared" si="144"/>
        <v>310.74857592239204</v>
      </c>
      <c r="T336" s="12">
        <f t="shared" si="145"/>
        <v>70.52180238522232</v>
      </c>
      <c r="U336" s="22">
        <f t="shared" si="146"/>
        <v>130.74857592239204</v>
      </c>
      <c r="V336" s="12">
        <f t="shared" si="147"/>
        <v>40.748575922392035</v>
      </c>
      <c r="W336" s="23">
        <f t="shared" si="148"/>
        <v>19.478197614777685</v>
      </c>
      <c r="X336" s="65"/>
      <c r="Y336" s="66"/>
      <c r="Z336" s="67"/>
      <c r="AA336" s="55">
        <v>29</v>
      </c>
      <c r="AB336" s="58">
        <v>33</v>
      </c>
      <c r="AC336" s="68">
        <v>126.4</v>
      </c>
      <c r="AD336" s="69">
        <v>-33.7</v>
      </c>
      <c r="AE336" s="22">
        <f>IF(AD336&gt;=0,IF(U336&gt;=AC336,U336-AC336,U336-AC336+360),IF((U336-AC336-180)&lt;0,IF(U336-AC336+180&lt;0,U336-AC336+540,U336-AC336+180),U336-AC336-180))</f>
        <v>184.34857592239203</v>
      </c>
      <c r="AF336" s="12">
        <f>IF(AE336-90&lt;0,AE336+270,AE336-90)</f>
        <v>94.34857592239203</v>
      </c>
      <c r="AG336" s="12">
        <f>W336</f>
        <v>19.478197614777685</v>
      </c>
      <c r="AH336" s="48"/>
      <c r="AI336" s="27"/>
    </row>
    <row r="337" spans="1:39" s="54" customFormat="1" ht="12.75" customHeight="1">
      <c r="A337" s="89">
        <f>H337/100+269.983</f>
        <v>270.857</v>
      </c>
      <c r="B337" s="90" t="s">
        <v>49</v>
      </c>
      <c r="C337" s="58" t="s">
        <v>122</v>
      </c>
      <c r="D337" s="58">
        <v>4</v>
      </c>
      <c r="E337" s="55" t="s">
        <v>123</v>
      </c>
      <c r="F337" s="56">
        <v>87.3</v>
      </c>
      <c r="G337" s="57">
        <v>87.5</v>
      </c>
      <c r="H337" s="11">
        <f t="shared" si="140"/>
        <v>87.4</v>
      </c>
      <c r="I337" s="59"/>
      <c r="J337" s="55">
        <v>270</v>
      </c>
      <c r="K337" s="60">
        <v>3</v>
      </c>
      <c r="L337" s="60">
        <v>180</v>
      </c>
      <c r="M337" s="60">
        <v>5</v>
      </c>
      <c r="N337" s="60"/>
      <c r="O337" s="61"/>
      <c r="P337" s="38">
        <f t="shared" si="141"/>
        <v>-0.0870362988312832</v>
      </c>
      <c r="Q337" s="38">
        <f t="shared" si="142"/>
        <v>-0.05213680212878222</v>
      </c>
      <c r="R337" s="38">
        <f t="shared" si="143"/>
        <v>-0.994829447880333</v>
      </c>
      <c r="S337" s="62">
        <f t="shared" si="144"/>
        <v>210.9226062699279</v>
      </c>
      <c r="T337" s="12">
        <f t="shared" si="145"/>
        <v>-84.17685049823567</v>
      </c>
      <c r="U337" s="22">
        <f t="shared" si="146"/>
        <v>210.9226062699279</v>
      </c>
      <c r="V337" s="12">
        <f t="shared" si="147"/>
        <v>120.92260626992791</v>
      </c>
      <c r="W337" s="23">
        <f t="shared" si="148"/>
        <v>5.823149501764334</v>
      </c>
      <c r="X337" s="65"/>
      <c r="Y337" s="66"/>
      <c r="Z337" s="67"/>
      <c r="AA337" s="55"/>
      <c r="AB337" s="58"/>
      <c r="AC337" s="68"/>
      <c r="AD337" s="69"/>
      <c r="AE337" s="22"/>
      <c r="AF337" s="12"/>
      <c r="AG337" s="12"/>
      <c r="AH337" s="48"/>
      <c r="AI337" s="27"/>
      <c r="AJ337" s="58"/>
      <c r="AM337"/>
    </row>
    <row r="338" spans="1:35" s="54" customFormat="1" ht="12.75" customHeight="1">
      <c r="A338" s="89">
        <f>H338/100+271.31</f>
        <v>271.9</v>
      </c>
      <c r="B338" s="90" t="s">
        <v>49</v>
      </c>
      <c r="C338" s="58" t="s">
        <v>122</v>
      </c>
      <c r="D338" s="58">
        <v>6</v>
      </c>
      <c r="E338" s="55" t="s">
        <v>121</v>
      </c>
      <c r="F338" s="56">
        <v>58.5</v>
      </c>
      <c r="G338" s="57">
        <v>59.5</v>
      </c>
      <c r="H338" s="11">
        <f t="shared" si="140"/>
        <v>59</v>
      </c>
      <c r="I338" s="59"/>
      <c r="J338" s="55">
        <v>90</v>
      </c>
      <c r="K338" s="60">
        <v>5</v>
      </c>
      <c r="L338" s="60">
        <v>180</v>
      </c>
      <c r="M338" s="60">
        <v>7</v>
      </c>
      <c r="N338" s="60"/>
      <c r="O338" s="61"/>
      <c r="P338" s="38">
        <f t="shared" si="141"/>
        <v>0.12140559376013013</v>
      </c>
      <c r="Q338" s="38">
        <f t="shared" si="142"/>
        <v>-0.08650609705762918</v>
      </c>
      <c r="R338" s="38">
        <f t="shared" si="143"/>
        <v>0.9887692138764507</v>
      </c>
      <c r="S338" s="62">
        <f t="shared" si="144"/>
        <v>324.5286843340475</v>
      </c>
      <c r="T338" s="12">
        <f t="shared" si="145"/>
        <v>81.42632981513503</v>
      </c>
      <c r="U338" s="22">
        <f t="shared" si="146"/>
        <v>144.5286843340475</v>
      </c>
      <c r="V338" s="12">
        <f t="shared" si="147"/>
        <v>54.52868433404751</v>
      </c>
      <c r="W338" s="23">
        <f t="shared" si="148"/>
        <v>8.573670184864966</v>
      </c>
      <c r="X338" s="65"/>
      <c r="Y338" s="66"/>
      <c r="Z338" s="67"/>
      <c r="AA338" s="55">
        <v>55</v>
      </c>
      <c r="AB338" s="58">
        <v>61</v>
      </c>
      <c r="AC338" s="68">
        <v>-68.8</v>
      </c>
      <c r="AD338" s="69">
        <v>46</v>
      </c>
      <c r="AE338" s="22">
        <f>IF(AD338&gt;=0,IF(U338&gt;=AC338,U338-AC338,U338-AC338+360),IF((U338-AC338-180)&lt;0,IF(U338-AC338+180&lt;0,U338-AC338+540,U338-AC338+180),U338-AC338-180))</f>
        <v>213.32868433404752</v>
      </c>
      <c r="AF338" s="12">
        <f>IF(AE338-90&lt;0,AE338+270,AE338-90)</f>
        <v>123.32868433404752</v>
      </c>
      <c r="AG338" s="12">
        <f>W338</f>
        <v>8.573670184864966</v>
      </c>
      <c r="AH338" s="48"/>
      <c r="AI338" s="27"/>
    </row>
    <row r="339" spans="1:35" s="54" customFormat="1" ht="12.75" customHeight="1">
      <c r="A339" s="89">
        <f>H339/100+271.31</f>
        <v>272.0325</v>
      </c>
      <c r="B339" s="90" t="s">
        <v>49</v>
      </c>
      <c r="C339" s="58" t="s">
        <v>122</v>
      </c>
      <c r="D339" s="58">
        <v>6</v>
      </c>
      <c r="E339" s="55" t="s">
        <v>123</v>
      </c>
      <c r="F339" s="56">
        <v>71.5</v>
      </c>
      <c r="G339" s="57">
        <v>73</v>
      </c>
      <c r="H339" s="11">
        <f t="shared" si="140"/>
        <v>72.25</v>
      </c>
      <c r="I339" s="59"/>
      <c r="J339" s="55">
        <v>270</v>
      </c>
      <c r="K339" s="60">
        <v>8</v>
      </c>
      <c r="L339" s="60">
        <v>180</v>
      </c>
      <c r="M339" s="60">
        <v>7</v>
      </c>
      <c r="N339" s="60"/>
      <c r="O339" s="61"/>
      <c r="P339" s="38">
        <f t="shared" si="141"/>
        <v>-0.12068331933261864</v>
      </c>
      <c r="Q339" s="38">
        <f t="shared" si="142"/>
        <v>-0.1381357257699021</v>
      </c>
      <c r="R339" s="38">
        <f t="shared" si="143"/>
        <v>-0.9828867607227297</v>
      </c>
      <c r="S339" s="62">
        <f t="shared" si="144"/>
        <v>228.85766737554553</v>
      </c>
      <c r="T339" s="12">
        <f t="shared" si="145"/>
        <v>-79.42894908769492</v>
      </c>
      <c r="U339" s="22">
        <f t="shared" si="146"/>
        <v>228.85766737554553</v>
      </c>
      <c r="V339" s="12">
        <f t="shared" si="147"/>
        <v>138.85766737554553</v>
      </c>
      <c r="W339" s="23">
        <f t="shared" si="148"/>
        <v>10.571050912305083</v>
      </c>
      <c r="X339" s="65"/>
      <c r="Y339" s="66"/>
      <c r="Z339" s="67"/>
      <c r="AA339" s="55"/>
      <c r="AB339" s="58"/>
      <c r="AC339" s="68"/>
      <c r="AD339" s="69"/>
      <c r="AE339" s="22"/>
      <c r="AF339" s="12"/>
      <c r="AG339" s="12"/>
      <c r="AH339" s="48"/>
      <c r="AI339" s="27"/>
    </row>
    <row r="340" spans="1:35" s="54" customFormat="1" ht="12.75" customHeight="1">
      <c r="A340" s="89">
        <f>H340/100+272.638</f>
        <v>272.9505</v>
      </c>
      <c r="B340" s="90" t="s">
        <v>49</v>
      </c>
      <c r="C340" s="58" t="s">
        <v>122</v>
      </c>
      <c r="D340" s="58">
        <v>7</v>
      </c>
      <c r="E340" s="55" t="s">
        <v>123</v>
      </c>
      <c r="F340" s="56">
        <v>31</v>
      </c>
      <c r="G340" s="57">
        <v>31.5</v>
      </c>
      <c r="H340" s="11">
        <f t="shared" si="140"/>
        <v>31.25</v>
      </c>
      <c r="I340" s="59"/>
      <c r="J340" s="55">
        <v>90</v>
      </c>
      <c r="K340" s="60">
        <v>9</v>
      </c>
      <c r="L340" s="60">
        <v>180</v>
      </c>
      <c r="M340" s="60">
        <v>3</v>
      </c>
      <c r="N340" s="60"/>
      <c r="O340" s="61"/>
      <c r="P340" s="38">
        <f t="shared" si="141"/>
        <v>0.05169161377505291</v>
      </c>
      <c r="Q340" s="38">
        <f t="shared" si="142"/>
        <v>-0.1562200770427064</v>
      </c>
      <c r="R340" s="38">
        <f t="shared" si="143"/>
        <v>0.9863347480510395</v>
      </c>
      <c r="S340" s="62">
        <f t="shared" si="144"/>
        <v>288.30884747849825</v>
      </c>
      <c r="T340" s="12">
        <f t="shared" si="145"/>
        <v>80.52857977265462</v>
      </c>
      <c r="U340" s="22">
        <f t="shared" si="146"/>
        <v>108.30884747849825</v>
      </c>
      <c r="V340" s="12">
        <f t="shared" si="147"/>
        <v>18.30884747849825</v>
      </c>
      <c r="W340" s="23">
        <f t="shared" si="148"/>
        <v>9.471420227345376</v>
      </c>
      <c r="X340" s="65"/>
      <c r="Y340" s="66"/>
      <c r="Z340" s="67"/>
      <c r="AA340" s="55"/>
      <c r="AB340" s="58"/>
      <c r="AC340" s="68"/>
      <c r="AD340" s="69"/>
      <c r="AE340" s="22"/>
      <c r="AF340" s="12"/>
      <c r="AG340" s="12"/>
      <c r="AH340" s="48"/>
      <c r="AI340" s="27"/>
    </row>
    <row r="341" spans="1:35" s="54" customFormat="1" ht="12.75" customHeight="1">
      <c r="A341" s="89">
        <f>H341/100+279.664</f>
        <v>280.429</v>
      </c>
      <c r="B341" s="90" t="s">
        <v>49</v>
      </c>
      <c r="C341" s="58" t="s">
        <v>124</v>
      </c>
      <c r="D341" s="58">
        <v>5</v>
      </c>
      <c r="E341" s="55" t="s">
        <v>123</v>
      </c>
      <c r="F341" s="56">
        <v>75</v>
      </c>
      <c r="G341" s="57">
        <v>78</v>
      </c>
      <c r="H341" s="11">
        <f t="shared" si="140"/>
        <v>76.5</v>
      </c>
      <c r="I341" s="59"/>
      <c r="J341" s="55">
        <v>90</v>
      </c>
      <c r="K341" s="60">
        <v>29</v>
      </c>
      <c r="L341" s="60">
        <v>33</v>
      </c>
      <c r="M341" s="60">
        <v>0</v>
      </c>
      <c r="N341" s="60"/>
      <c r="O341" s="61"/>
      <c r="P341" s="38">
        <f t="shared" si="141"/>
        <v>-0.2640462437369668</v>
      </c>
      <c r="Q341" s="38">
        <f t="shared" si="142"/>
        <v>0.40659555955740084</v>
      </c>
      <c r="R341" s="38">
        <f t="shared" si="143"/>
        <v>-0.7335178065228575</v>
      </c>
      <c r="S341" s="62">
        <f t="shared" si="144"/>
        <v>123</v>
      </c>
      <c r="T341" s="12">
        <f t="shared" si="145"/>
        <v>-56.537778074397295</v>
      </c>
      <c r="U341" s="22">
        <f t="shared" si="146"/>
        <v>123</v>
      </c>
      <c r="V341" s="12">
        <f t="shared" si="147"/>
        <v>33</v>
      </c>
      <c r="W341" s="23">
        <f t="shared" si="148"/>
        <v>33.462221925602705</v>
      </c>
      <c r="X341" s="65"/>
      <c r="Y341" s="66"/>
      <c r="Z341" s="67"/>
      <c r="AA341" s="55"/>
      <c r="AB341" s="58"/>
      <c r="AC341" s="68"/>
      <c r="AD341" s="69"/>
      <c r="AE341" s="22"/>
      <c r="AF341" s="12"/>
      <c r="AG341" s="12"/>
      <c r="AH341" s="48"/>
      <c r="AI341" s="27"/>
    </row>
    <row r="342" spans="1:35" s="54" customFormat="1" ht="12.75" customHeight="1">
      <c r="A342" s="89">
        <f>H342/100+279.664</f>
        <v>280.589</v>
      </c>
      <c r="B342" s="90" t="s">
        <v>49</v>
      </c>
      <c r="C342" s="58" t="s">
        <v>124</v>
      </c>
      <c r="D342" s="58">
        <v>5</v>
      </c>
      <c r="E342" s="55" t="s">
        <v>125</v>
      </c>
      <c r="F342" s="56">
        <v>91</v>
      </c>
      <c r="G342" s="57">
        <v>94</v>
      </c>
      <c r="H342" s="11">
        <f t="shared" si="140"/>
        <v>92.5</v>
      </c>
      <c r="I342" s="59"/>
      <c r="J342" s="55">
        <v>270</v>
      </c>
      <c r="K342" s="60">
        <v>22</v>
      </c>
      <c r="L342" s="60">
        <v>47</v>
      </c>
      <c r="M342" s="60">
        <v>0</v>
      </c>
      <c r="N342" s="60"/>
      <c r="O342" s="61"/>
      <c r="P342" s="38">
        <f t="shared" si="141"/>
        <v>-0.27396991874567483</v>
      </c>
      <c r="Q342" s="38">
        <f t="shared" si="142"/>
        <v>0.2554810823782511</v>
      </c>
      <c r="R342" s="38">
        <f t="shared" si="143"/>
        <v>0.632337868290975</v>
      </c>
      <c r="S342" s="62">
        <f t="shared" si="144"/>
        <v>137</v>
      </c>
      <c r="T342" s="12">
        <f t="shared" si="145"/>
        <v>59.35685298149087</v>
      </c>
      <c r="U342" s="22">
        <f t="shared" si="146"/>
        <v>317</v>
      </c>
      <c r="V342" s="12">
        <f t="shared" si="147"/>
        <v>227</v>
      </c>
      <c r="W342" s="23">
        <f t="shared" si="148"/>
        <v>30.643147018509133</v>
      </c>
      <c r="X342" s="65"/>
      <c r="Y342" s="66"/>
      <c r="Z342" s="67"/>
      <c r="AA342" s="55"/>
      <c r="AB342" s="58"/>
      <c r="AC342" s="68"/>
      <c r="AD342" s="69"/>
      <c r="AE342" s="22"/>
      <c r="AF342" s="12"/>
      <c r="AG342" s="12"/>
      <c r="AH342" s="48"/>
      <c r="AI342" s="27"/>
    </row>
    <row r="343" spans="1:35" s="54" customFormat="1" ht="12.75" customHeight="1">
      <c r="A343" s="89">
        <f>H343/100+279.664</f>
        <v>280.589</v>
      </c>
      <c r="B343" s="90" t="s">
        <v>49</v>
      </c>
      <c r="C343" s="58" t="s">
        <v>124</v>
      </c>
      <c r="D343" s="58">
        <v>5</v>
      </c>
      <c r="E343" s="55" t="s">
        <v>125</v>
      </c>
      <c r="F343" s="56">
        <v>91</v>
      </c>
      <c r="G343" s="57">
        <v>94</v>
      </c>
      <c r="H343" s="11">
        <f t="shared" si="140"/>
        <v>92.5</v>
      </c>
      <c r="I343" s="59"/>
      <c r="J343" s="55">
        <v>270</v>
      </c>
      <c r="K343" s="60">
        <v>27</v>
      </c>
      <c r="L343" s="60">
        <v>28</v>
      </c>
      <c r="M343" s="60">
        <v>0</v>
      </c>
      <c r="N343" s="60"/>
      <c r="O343" s="61"/>
      <c r="P343" s="38">
        <f t="shared" si="141"/>
        <v>-0.21313562940267256</v>
      </c>
      <c r="Q343" s="38">
        <f t="shared" si="142"/>
        <v>0.40084981892585414</v>
      </c>
      <c r="R343" s="38">
        <f t="shared" si="143"/>
        <v>0.7867120657537187</v>
      </c>
      <c r="S343" s="62">
        <f t="shared" si="144"/>
        <v>118</v>
      </c>
      <c r="T343" s="12">
        <f t="shared" si="145"/>
        <v>60.011904842047095</v>
      </c>
      <c r="U343" s="22">
        <f t="shared" si="146"/>
        <v>298</v>
      </c>
      <c r="V343" s="12">
        <f t="shared" si="147"/>
        <v>208</v>
      </c>
      <c r="W343" s="23">
        <f t="shared" si="148"/>
        <v>29.988095157952905</v>
      </c>
      <c r="X343" s="65"/>
      <c r="Y343" s="66"/>
      <c r="Z343" s="67"/>
      <c r="AA343" s="55"/>
      <c r="AB343" s="58"/>
      <c r="AC343" s="68"/>
      <c r="AD343" s="69"/>
      <c r="AE343" s="22"/>
      <c r="AF343" s="12"/>
      <c r="AG343" s="12"/>
      <c r="AH343" s="48"/>
      <c r="AI343" s="27"/>
    </row>
    <row r="344" spans="1:35" s="54" customFormat="1" ht="12.75" customHeight="1">
      <c r="A344" s="89">
        <f>H344/100+280.654</f>
        <v>280.839</v>
      </c>
      <c r="B344" s="90" t="s">
        <v>49</v>
      </c>
      <c r="C344" s="58" t="s">
        <v>124</v>
      </c>
      <c r="D344" s="58">
        <v>6</v>
      </c>
      <c r="E344" s="55" t="s">
        <v>149</v>
      </c>
      <c r="F344" s="56">
        <v>16</v>
      </c>
      <c r="G344" s="57">
        <v>21</v>
      </c>
      <c r="H344" s="11">
        <f t="shared" si="140"/>
        <v>18.5</v>
      </c>
      <c r="I344" s="59"/>
      <c r="J344" s="55">
        <v>90</v>
      </c>
      <c r="K344" s="60">
        <v>40</v>
      </c>
      <c r="L344" s="60">
        <v>180</v>
      </c>
      <c r="M344" s="60">
        <v>2</v>
      </c>
      <c r="N344" s="60"/>
      <c r="O344" s="61"/>
      <c r="P344" s="38">
        <f t="shared" si="141"/>
        <v>0.026734565516599886</v>
      </c>
      <c r="Q344" s="38">
        <f t="shared" si="142"/>
        <v>-0.6423960408422582</v>
      </c>
      <c r="R344" s="38">
        <f t="shared" si="143"/>
        <v>0.7655777895420581</v>
      </c>
      <c r="S344" s="62">
        <f t="shared" si="144"/>
        <v>272.3831005490509</v>
      </c>
      <c r="T344" s="12">
        <f t="shared" si="145"/>
        <v>49.97558754804571</v>
      </c>
      <c r="U344" s="22">
        <f t="shared" si="146"/>
        <v>92.38310054905088</v>
      </c>
      <c r="V344" s="12">
        <f t="shared" si="147"/>
        <v>2.38310054905088</v>
      </c>
      <c r="W344" s="23">
        <f t="shared" si="148"/>
        <v>40.02441245195429</v>
      </c>
      <c r="X344" s="65"/>
      <c r="Y344" s="66"/>
      <c r="Z344" s="67"/>
      <c r="AA344" s="55">
        <v>15</v>
      </c>
      <c r="AB344" s="58">
        <v>21</v>
      </c>
      <c r="AC344" s="85">
        <v>111.9</v>
      </c>
      <c r="AD344" s="86">
        <v>-56.7</v>
      </c>
      <c r="AE344" s="22">
        <f>IF(AD344&gt;=0,IF(U344&gt;=AC344,U344-AC344,U344-AC344+360),IF((U344-AC344-180)&lt;0,IF(U344-AC344+180&lt;0,U344-AC344+540,U344-AC344+180),U344-AC344-180))</f>
        <v>160.48310054905087</v>
      </c>
      <c r="AF344" s="12">
        <f>IF(AE344-90&lt;0,AE344+270,AE344-90)</f>
        <v>70.48310054905087</v>
      </c>
      <c r="AG344" s="12">
        <f>W344</f>
        <v>40.02441245195429</v>
      </c>
      <c r="AH344" s="48"/>
      <c r="AI344" s="27"/>
    </row>
    <row r="345" spans="1:35" s="54" customFormat="1" ht="12.75" customHeight="1">
      <c r="A345" s="89">
        <f>H345/100+283.91</f>
        <v>284.31</v>
      </c>
      <c r="B345" s="90" t="s">
        <v>49</v>
      </c>
      <c r="C345" s="58" t="s">
        <v>114</v>
      </c>
      <c r="D345" s="58">
        <v>2</v>
      </c>
      <c r="E345" s="55" t="s">
        <v>44</v>
      </c>
      <c r="F345" s="56">
        <v>39</v>
      </c>
      <c r="G345" s="57">
        <v>41</v>
      </c>
      <c r="H345" s="1">
        <f t="shared" si="140"/>
        <v>40</v>
      </c>
      <c r="I345" s="59"/>
      <c r="J345" s="55">
        <v>270</v>
      </c>
      <c r="K345" s="60">
        <v>29</v>
      </c>
      <c r="L345" s="60">
        <v>303</v>
      </c>
      <c r="M345" s="60">
        <v>0</v>
      </c>
      <c r="N345" s="60"/>
      <c r="O345" s="61"/>
      <c r="P345" s="38">
        <f t="shared" si="141"/>
        <v>0.40659555955740095</v>
      </c>
      <c r="Q345" s="38">
        <f t="shared" si="142"/>
        <v>0.26404624373696656</v>
      </c>
      <c r="R345" s="38">
        <f t="shared" si="143"/>
        <v>0.4763520333015258</v>
      </c>
      <c r="S345" s="62">
        <f t="shared" si="144"/>
        <v>32.99999999999998</v>
      </c>
      <c r="T345" s="12">
        <f t="shared" si="145"/>
        <v>44.49584804101828</v>
      </c>
      <c r="U345" s="22">
        <f t="shared" si="146"/>
        <v>212.99999999999997</v>
      </c>
      <c r="V345" s="12">
        <f t="shared" si="147"/>
        <v>122.99999999999997</v>
      </c>
      <c r="W345" s="23">
        <f t="shared" si="148"/>
        <v>45.50415195898172</v>
      </c>
      <c r="X345" s="65"/>
      <c r="Y345" s="66"/>
      <c r="Z345" s="67"/>
      <c r="AA345" s="55"/>
      <c r="AB345" s="58"/>
      <c r="AC345" s="68"/>
      <c r="AD345" s="69"/>
      <c r="AE345" s="22"/>
      <c r="AF345" s="12"/>
      <c r="AG345" s="12"/>
      <c r="AH345" s="48"/>
      <c r="AI345" s="27"/>
    </row>
    <row r="346" spans="1:35" s="54" customFormat="1" ht="12.75" customHeight="1">
      <c r="A346" s="89">
        <f>H346/100+286.275</f>
        <v>286.40999999999997</v>
      </c>
      <c r="B346" s="90" t="s">
        <v>49</v>
      </c>
      <c r="C346" s="58" t="s">
        <v>114</v>
      </c>
      <c r="D346" s="58">
        <v>5</v>
      </c>
      <c r="E346" s="55" t="s">
        <v>44</v>
      </c>
      <c r="F346" s="56">
        <v>13</v>
      </c>
      <c r="G346" s="57">
        <v>14</v>
      </c>
      <c r="H346" s="1">
        <f t="shared" si="140"/>
        <v>13.5</v>
      </c>
      <c r="I346" s="59"/>
      <c r="J346" s="55">
        <v>270</v>
      </c>
      <c r="K346" s="60">
        <v>29</v>
      </c>
      <c r="L346" s="60">
        <v>336</v>
      </c>
      <c r="M346" s="60">
        <v>0</v>
      </c>
      <c r="N346" s="60"/>
      <c r="O346" s="61"/>
      <c r="P346" s="38">
        <f t="shared" si="141"/>
        <v>0.1971898374698486</v>
      </c>
      <c r="Q346" s="38">
        <f t="shared" si="142"/>
        <v>0.4428956263974756</v>
      </c>
      <c r="R346" s="38">
        <f t="shared" si="143"/>
        <v>0.799004860621897</v>
      </c>
      <c r="S346" s="62">
        <f t="shared" si="144"/>
        <v>66</v>
      </c>
      <c r="T346" s="12">
        <f t="shared" si="145"/>
        <v>58.7520142410965</v>
      </c>
      <c r="U346" s="22">
        <f t="shared" si="146"/>
        <v>246</v>
      </c>
      <c r="V346" s="12">
        <f t="shared" si="147"/>
        <v>156</v>
      </c>
      <c r="W346" s="23">
        <f t="shared" si="148"/>
        <v>31.247985758903503</v>
      </c>
      <c r="X346" s="65"/>
      <c r="Y346" s="66"/>
      <c r="Z346" s="67"/>
      <c r="AA346" s="55">
        <v>3</v>
      </c>
      <c r="AB346" s="58">
        <v>16</v>
      </c>
      <c r="AC346" s="85">
        <v>-116.7</v>
      </c>
      <c r="AD346" s="86">
        <v>-56.8</v>
      </c>
      <c r="AE346" s="22">
        <f>IF(AD346&gt;=0,IF(U346&gt;=AC346,U346-AC346,U346-AC346+360),IF((U346-AC346-180)&lt;0,IF(U346-AC346+180&lt;0,U346-AC346+540,U346-AC346+180),U346-AC346-180))</f>
        <v>182.7</v>
      </c>
      <c r="AF346" s="12">
        <f>IF(AE346-90&lt;0,AE346+270,AE346-90)</f>
        <v>92.69999999999999</v>
      </c>
      <c r="AG346" s="12">
        <f>W346</f>
        <v>31.247985758903503</v>
      </c>
      <c r="AH346" s="48"/>
      <c r="AI346" s="27"/>
    </row>
    <row r="347" spans="1:39" s="54" customFormat="1" ht="12.75" customHeight="1">
      <c r="A347" s="89">
        <f>H347/100+287.675</f>
        <v>288.48</v>
      </c>
      <c r="B347" s="90" t="s">
        <v>49</v>
      </c>
      <c r="C347" s="58" t="s">
        <v>114</v>
      </c>
      <c r="D347" s="58">
        <v>6</v>
      </c>
      <c r="E347" s="55" t="s">
        <v>115</v>
      </c>
      <c r="F347" s="56">
        <v>75</v>
      </c>
      <c r="G347" s="57">
        <v>86</v>
      </c>
      <c r="H347" s="1">
        <f t="shared" si="140"/>
        <v>80.5</v>
      </c>
      <c r="I347" s="59"/>
      <c r="J347" s="55"/>
      <c r="K347" s="60"/>
      <c r="L347" s="60"/>
      <c r="M347" s="60"/>
      <c r="N347" s="60"/>
      <c r="O347" s="61"/>
      <c r="P347" s="38"/>
      <c r="Q347" s="38"/>
      <c r="R347" s="38"/>
      <c r="S347" s="62"/>
      <c r="T347" s="12"/>
      <c r="U347" s="22"/>
      <c r="V347" s="12"/>
      <c r="W347" s="23"/>
      <c r="X347" s="65"/>
      <c r="Y347" s="66"/>
      <c r="Z347" s="67"/>
      <c r="AA347" s="55"/>
      <c r="AB347" s="58"/>
      <c r="AC347" s="68"/>
      <c r="AD347" s="69"/>
      <c r="AE347" s="22"/>
      <c r="AF347" s="12"/>
      <c r="AG347" s="12"/>
      <c r="AH347" s="48"/>
      <c r="AI347" s="27"/>
      <c r="AM347"/>
    </row>
    <row r="348" spans="1:35" s="54" customFormat="1" ht="12.75" customHeight="1">
      <c r="A348" s="89">
        <f>H348/100+287.675</f>
        <v>288.505</v>
      </c>
      <c r="B348" s="90" t="s">
        <v>49</v>
      </c>
      <c r="C348" s="58" t="s">
        <v>114</v>
      </c>
      <c r="D348" s="58">
        <v>6</v>
      </c>
      <c r="E348" s="55" t="s">
        <v>149</v>
      </c>
      <c r="F348" s="56">
        <v>82</v>
      </c>
      <c r="G348" s="57">
        <v>84</v>
      </c>
      <c r="H348" s="1">
        <f t="shared" si="140"/>
        <v>83</v>
      </c>
      <c r="I348" s="59"/>
      <c r="J348" s="55">
        <v>270</v>
      </c>
      <c r="K348" s="60">
        <v>14</v>
      </c>
      <c r="L348" s="60">
        <v>180</v>
      </c>
      <c r="M348" s="60">
        <v>1</v>
      </c>
      <c r="N348" s="60"/>
      <c r="O348" s="61"/>
      <c r="P348" s="38">
        <f>COS(K348*PI()/180)*SIN(J348*PI()/180)*(SIN((M348)*PI()/180))-(COS((M348)*PI()/180)*SIN(L348*PI()/180))*(SIN(K348*PI()/180))</f>
        <v>-0.016933995379327913</v>
      </c>
      <c r="Q348" s="38">
        <f>(SIN(K348*PI()/180))*(COS((M348)*PI()/180)*COS(L348*PI()/180))-(SIN((M348)*PI()/180))*(COS(K348*PI()/180)*COS(J348*PI()/180))</f>
        <v>-0.24188504972319289</v>
      </c>
      <c r="R348" s="38">
        <f>(COS(K348*PI()/180)*COS(J348*PI()/180))*(COS((M348)*PI()/180)*SIN(L348*PI()/180))-(COS(K348*PI()/180)*SIN(J348*PI()/180))*(COS((M348)*PI()/180)*COS(L348*PI()/180))</f>
        <v>-0.9701479455371518</v>
      </c>
      <c r="S348" s="62">
        <f>IF(P348=0,IF(Q348&gt;=0,90,270),IF(P348&gt;0,IF(Q348&gt;=0,ATAN(Q348/P348)*180/PI(),ATAN(Q348/P348)*180/PI()+360),ATAN(Q348/P348)*180/PI()+180))</f>
        <v>265.99534574949803</v>
      </c>
      <c r="T348" s="12">
        <f>ASIN(R348/SQRT(P348^2+Q348^2+R348^2))*180/PI()</f>
        <v>-75.96708610088064</v>
      </c>
      <c r="U348" s="22">
        <f>IF(R348&lt;0,S348,IF(S348+180&gt;=360,S348-180,S348+180))</f>
        <v>265.99534574949803</v>
      </c>
      <c r="V348" s="12">
        <f>IF(U348-90&lt;0,U348+270,U348-90)</f>
        <v>175.99534574949803</v>
      </c>
      <c r="W348" s="23">
        <f>IF(R348&lt;0,90+T348,90-T348)</f>
        <v>14.032913899119364</v>
      </c>
      <c r="X348" s="65"/>
      <c r="Y348" s="66"/>
      <c r="Z348" s="67"/>
      <c r="AA348" s="55">
        <v>75</v>
      </c>
      <c r="AB348" s="58">
        <v>87</v>
      </c>
      <c r="AC348" s="68">
        <v>-110.1</v>
      </c>
      <c r="AD348" s="69">
        <v>-75.5</v>
      </c>
      <c r="AE348" s="22">
        <f>IF(AD348&gt;=0,IF(U348&gt;=AC348,U348-AC348,U348-AC348+360),IF((U348-AC348-180)&lt;0,IF(U348-AC348+180&lt;0,U348-AC348+540,U348-AC348+180),U348-AC348-180))</f>
        <v>196.09534574949805</v>
      </c>
      <c r="AF348" s="12">
        <f>IF(AE348-90&lt;0,AE348+270,AE348-90)</f>
        <v>106.09534574949805</v>
      </c>
      <c r="AG348" s="12">
        <f>W348</f>
        <v>14.032913899119364</v>
      </c>
      <c r="AH348" s="48"/>
      <c r="AI348" s="27"/>
    </row>
    <row r="349" spans="1:35" s="54" customFormat="1" ht="12.75" customHeight="1">
      <c r="A349" s="89">
        <f>H349/100+294.696</f>
        <v>295.44100000000003</v>
      </c>
      <c r="B349" s="90" t="s">
        <v>49</v>
      </c>
      <c r="C349" s="58" t="s">
        <v>116</v>
      </c>
      <c r="D349" s="58">
        <v>3</v>
      </c>
      <c r="E349" s="55" t="s">
        <v>149</v>
      </c>
      <c r="F349" s="56">
        <v>74</v>
      </c>
      <c r="G349" s="57">
        <v>75</v>
      </c>
      <c r="H349" s="1">
        <f t="shared" si="140"/>
        <v>74.5</v>
      </c>
      <c r="I349" s="59"/>
      <c r="J349" s="55">
        <v>90</v>
      </c>
      <c r="K349" s="60">
        <v>8</v>
      </c>
      <c r="L349" s="60">
        <v>297</v>
      </c>
      <c r="M349" s="60">
        <v>0</v>
      </c>
      <c r="N349" s="60"/>
      <c r="O349" s="61"/>
      <c r="P349" s="38">
        <f>COS(K349*PI()/180)*SIN(J349*PI()/180)*(SIN((M349)*PI()/180))-(COS((M349)*PI()/180)*SIN(L349*PI()/180))*(SIN(K349*PI()/180))</f>
        <v>0.12400414094694472</v>
      </c>
      <c r="Q349" s="38">
        <f>(SIN(K349*PI()/180))*(COS((M349)*PI()/180)*COS(L349*PI()/180))-(SIN((M349)*PI()/180))*(COS(K349*PI()/180)*COS(J349*PI()/180))</f>
        <v>0.06318326565516248</v>
      </c>
      <c r="R349" s="38">
        <f>(COS(K349*PI()/180)*COS(J349*PI()/180))*(COS((M349)*PI()/180)*SIN(L349*PI()/180))-(COS(K349*PI()/180)*SIN(J349*PI()/180))*(COS((M349)*PI()/180)*COS(L349*PI()/180))</f>
        <v>-0.4495722954041013</v>
      </c>
      <c r="S349" s="62">
        <f>IF(P349=0,IF(Q349&gt;=0,90,270),IF(P349&gt;0,IF(Q349&gt;=0,ATAN(Q349/P349)*180/PI(),ATAN(Q349/P349)*180/PI()+360),ATAN(Q349/P349)*180/PI()+180))</f>
        <v>26.99999999999999</v>
      </c>
      <c r="T349" s="12">
        <f>ASIN(R349/SQRT(P349^2+Q349^2+R349^2))*180/PI()</f>
        <v>-72.7991593376662</v>
      </c>
      <c r="U349" s="22">
        <f>IF(R349&lt;0,S349,IF(S349+180&gt;=360,S349-180,S349+180))</f>
        <v>26.99999999999999</v>
      </c>
      <c r="V349" s="12">
        <f>IF(U349-90&lt;0,U349+270,U349-90)</f>
        <v>297</v>
      </c>
      <c r="W349" s="23">
        <f>IF(R349&lt;0,90+T349,90-T349)</f>
        <v>17.200840662333803</v>
      </c>
      <c r="X349" s="65"/>
      <c r="Y349" s="66"/>
      <c r="Z349" s="67"/>
      <c r="AA349" s="55"/>
      <c r="AB349" s="58"/>
      <c r="AC349" s="68"/>
      <c r="AD349" s="69"/>
      <c r="AE349" s="22"/>
      <c r="AF349" s="12"/>
      <c r="AG349" s="12"/>
      <c r="AH349" s="48"/>
      <c r="AI349" s="27"/>
    </row>
    <row r="350" spans="1:35" s="54" customFormat="1" ht="12.75" customHeight="1">
      <c r="A350" s="89">
        <f>H350/100+294.696</f>
        <v>295.451</v>
      </c>
      <c r="B350" s="90" t="s">
        <v>49</v>
      </c>
      <c r="C350" s="58" t="s">
        <v>116</v>
      </c>
      <c r="D350" s="58">
        <v>3</v>
      </c>
      <c r="E350" s="55" t="s">
        <v>149</v>
      </c>
      <c r="F350" s="56">
        <v>75</v>
      </c>
      <c r="G350" s="57">
        <v>76</v>
      </c>
      <c r="H350" s="1">
        <f t="shared" si="140"/>
        <v>75.5</v>
      </c>
      <c r="I350" s="59"/>
      <c r="J350" s="55">
        <v>90</v>
      </c>
      <c r="K350" s="60">
        <v>7</v>
      </c>
      <c r="L350" s="60">
        <v>292</v>
      </c>
      <c r="M350" s="60">
        <v>0</v>
      </c>
      <c r="N350" s="60" t="s">
        <v>117</v>
      </c>
      <c r="O350" s="61"/>
      <c r="P350" s="38">
        <f>COS(K350*PI()/180)*SIN(J350*PI()/180)*(SIN((M350)*PI()/180))-(COS((M350)*PI()/180)*SIN(L350*PI()/180))*(SIN(K350*PI()/180))</f>
        <v>0.11299528757190813</v>
      </c>
      <c r="Q350" s="38">
        <f>(SIN(K350*PI()/180))*(COS((M350)*PI()/180)*COS(L350*PI()/180))-(SIN((M350)*PI()/180))*(COS(K350*PI()/180)*COS(J350*PI()/180))</f>
        <v>0.04565305957483623</v>
      </c>
      <c r="R350" s="38">
        <f>(COS(K350*PI()/180)*COS(J350*PI()/180))*(COS((M350)*PI()/180)*SIN(L350*PI()/180))-(COS(K350*PI()/180)*SIN(J350*PI()/180))*(COS((M350)*PI()/180)*COS(L350*PI()/180))</f>
        <v>-0.37181433267442887</v>
      </c>
      <c r="S350" s="62">
        <f>IF(P350=0,IF(Q350&gt;=0,90,270),IF(P350&gt;0,IF(Q350&gt;=0,ATAN(Q350/P350)*180/PI(),ATAN(Q350/P350)*180/PI()+360),ATAN(Q350/P350)*180/PI()+180))</f>
        <v>21.999999999999993</v>
      </c>
      <c r="T350" s="12">
        <f>ASIN(R350/SQRT(P350^2+Q350^2+R350^2))*180/PI()</f>
        <v>-71.85244179235596</v>
      </c>
      <c r="U350" s="22">
        <f>IF(R350&lt;0,S350,IF(S350+180&gt;=360,S350-180,S350+180))</f>
        <v>21.999999999999993</v>
      </c>
      <c r="V350" s="12">
        <f>IF(U350-90&lt;0,U350+270,U350-90)</f>
        <v>292</v>
      </c>
      <c r="W350" s="23">
        <f>IF(R350&lt;0,90+T350,90-T350)</f>
        <v>18.14755820764404</v>
      </c>
      <c r="X350" s="65"/>
      <c r="Y350" s="66"/>
      <c r="Z350" s="67"/>
      <c r="AA350" s="55"/>
      <c r="AB350" s="58"/>
      <c r="AC350" s="68"/>
      <c r="AD350" s="69"/>
      <c r="AE350" s="22"/>
      <c r="AF350" s="12"/>
      <c r="AG350" s="12"/>
      <c r="AH350" s="48"/>
      <c r="AI350" s="27"/>
    </row>
    <row r="351" spans="1:36" s="54" customFormat="1" ht="12.75" customHeight="1">
      <c r="A351" s="89">
        <f>H351/100+297.397</f>
        <v>298.092</v>
      </c>
      <c r="B351" s="90" t="s">
        <v>49</v>
      </c>
      <c r="C351" s="58" t="s">
        <v>116</v>
      </c>
      <c r="D351" s="58">
        <v>6</v>
      </c>
      <c r="E351" s="55" t="s">
        <v>50</v>
      </c>
      <c r="F351" s="56">
        <v>68</v>
      </c>
      <c r="G351" s="57">
        <v>71</v>
      </c>
      <c r="H351" s="1">
        <f t="shared" si="140"/>
        <v>69.5</v>
      </c>
      <c r="I351" s="59"/>
      <c r="J351" s="55"/>
      <c r="K351" s="60"/>
      <c r="L351" s="60"/>
      <c r="M351" s="60"/>
      <c r="N351" s="60"/>
      <c r="O351" s="61"/>
      <c r="P351" s="38"/>
      <c r="Q351" s="38"/>
      <c r="R351" s="38"/>
      <c r="S351" s="62"/>
      <c r="T351" s="12"/>
      <c r="U351" s="22"/>
      <c r="V351" s="12"/>
      <c r="W351" s="23"/>
      <c r="X351" s="65"/>
      <c r="Y351" s="66"/>
      <c r="Z351" s="67"/>
      <c r="AA351" s="55"/>
      <c r="AB351" s="58"/>
      <c r="AC351" s="68"/>
      <c r="AD351" s="69"/>
      <c r="AE351" s="22"/>
      <c r="AF351" s="12"/>
      <c r="AG351" s="12"/>
      <c r="AH351" s="48"/>
      <c r="AI351" s="27"/>
      <c r="AJ351" s="54" t="s">
        <v>118</v>
      </c>
    </row>
    <row r="352" spans="1:36" s="54" customFormat="1" ht="12.75" customHeight="1">
      <c r="A352" s="89">
        <f>H352/100+300.115</f>
        <v>300.41</v>
      </c>
      <c r="B352" s="90" t="s">
        <v>49</v>
      </c>
      <c r="C352" s="58" t="s">
        <v>116</v>
      </c>
      <c r="D352" s="58">
        <v>8</v>
      </c>
      <c r="E352" s="55" t="s">
        <v>50</v>
      </c>
      <c r="F352" s="56">
        <v>29</v>
      </c>
      <c r="G352" s="57">
        <v>30</v>
      </c>
      <c r="H352" s="1">
        <f t="shared" si="140"/>
        <v>29.5</v>
      </c>
      <c r="I352" s="59"/>
      <c r="J352" s="55"/>
      <c r="K352" s="60"/>
      <c r="L352" s="60"/>
      <c r="M352" s="60"/>
      <c r="N352" s="60"/>
      <c r="O352" s="61"/>
      <c r="P352" s="38"/>
      <c r="Q352" s="38"/>
      <c r="R352" s="38"/>
      <c r="S352" s="62"/>
      <c r="T352" s="12"/>
      <c r="U352" s="22"/>
      <c r="V352" s="12"/>
      <c r="W352" s="23"/>
      <c r="X352" s="65"/>
      <c r="Y352" s="66"/>
      <c r="Z352" s="67"/>
      <c r="AA352" s="55"/>
      <c r="AB352" s="58"/>
      <c r="AC352" s="68"/>
      <c r="AD352" s="69"/>
      <c r="AE352" s="22"/>
      <c r="AF352" s="12"/>
      <c r="AG352" s="12"/>
      <c r="AH352" s="48"/>
      <c r="AI352" s="27"/>
      <c r="AJ352" s="54" t="s">
        <v>54</v>
      </c>
    </row>
    <row r="353" spans="1:35" s="54" customFormat="1" ht="12.75" customHeight="1">
      <c r="A353" s="89">
        <f>H353/100+301.5</f>
        <v>301.6</v>
      </c>
      <c r="B353" s="90" t="s">
        <v>49</v>
      </c>
      <c r="C353" s="58" t="s">
        <v>126</v>
      </c>
      <c r="D353" s="58">
        <v>1</v>
      </c>
      <c r="E353" s="55" t="s">
        <v>150</v>
      </c>
      <c r="F353" s="56">
        <v>9.5</v>
      </c>
      <c r="G353" s="57">
        <v>10.5</v>
      </c>
      <c r="H353" s="11">
        <f t="shared" si="140"/>
        <v>10</v>
      </c>
      <c r="I353" s="59"/>
      <c r="J353" s="55"/>
      <c r="K353" s="60"/>
      <c r="L353" s="60"/>
      <c r="M353" s="60"/>
      <c r="N353" s="60"/>
      <c r="O353" s="61"/>
      <c r="P353" s="38"/>
      <c r="Q353" s="38"/>
      <c r="R353" s="38"/>
      <c r="S353" s="62"/>
      <c r="T353" s="12"/>
      <c r="U353" s="22"/>
      <c r="V353" s="12"/>
      <c r="W353" s="23"/>
      <c r="X353" s="65"/>
      <c r="Y353" s="66"/>
      <c r="Z353" s="67"/>
      <c r="AA353" s="55"/>
      <c r="AB353" s="58"/>
      <c r="AC353" s="68"/>
      <c r="AD353" s="69"/>
      <c r="AE353" s="22"/>
      <c r="AF353" s="12"/>
      <c r="AG353" s="12"/>
      <c r="AH353" s="48"/>
      <c r="AI353" s="27"/>
    </row>
    <row r="354" spans="1:38" s="54" customFormat="1" ht="12.75" customHeight="1">
      <c r="A354" s="89">
        <f>H354/100+302.828</f>
        <v>303.623</v>
      </c>
      <c r="B354" s="90" t="s">
        <v>49</v>
      </c>
      <c r="C354" s="58" t="s">
        <v>126</v>
      </c>
      <c r="D354" s="58">
        <v>2</v>
      </c>
      <c r="E354" s="55" t="s">
        <v>127</v>
      </c>
      <c r="F354" s="56">
        <v>76</v>
      </c>
      <c r="G354" s="57">
        <v>83</v>
      </c>
      <c r="H354" s="11">
        <f t="shared" si="140"/>
        <v>79.5</v>
      </c>
      <c r="I354" s="59"/>
      <c r="J354" s="55"/>
      <c r="K354" s="60"/>
      <c r="L354" s="60"/>
      <c r="M354" s="60"/>
      <c r="N354" s="60"/>
      <c r="O354" s="61"/>
      <c r="P354" s="38"/>
      <c r="Q354" s="38"/>
      <c r="R354" s="38"/>
      <c r="S354" s="62"/>
      <c r="T354" s="12"/>
      <c r="U354" s="22"/>
      <c r="V354" s="12"/>
      <c r="W354" s="23"/>
      <c r="X354" s="65"/>
      <c r="Y354" s="66"/>
      <c r="Z354" s="67"/>
      <c r="AA354" s="55"/>
      <c r="AB354" s="58"/>
      <c r="AC354" s="68"/>
      <c r="AD354" s="69"/>
      <c r="AE354" s="22"/>
      <c r="AF354" s="12"/>
      <c r="AG354" s="12"/>
      <c r="AH354" s="48"/>
      <c r="AI354" s="27"/>
      <c r="AL354"/>
    </row>
    <row r="355" spans="1:35" s="54" customFormat="1" ht="12.75" customHeight="1">
      <c r="A355" s="89">
        <f>H355/100+302.828</f>
        <v>303.7055</v>
      </c>
      <c r="B355" s="90" t="s">
        <v>49</v>
      </c>
      <c r="C355" s="58" t="s">
        <v>126</v>
      </c>
      <c r="D355" s="58">
        <v>2</v>
      </c>
      <c r="E355" s="55" t="s">
        <v>128</v>
      </c>
      <c r="F355" s="56">
        <v>86</v>
      </c>
      <c r="G355" s="57">
        <v>89.5</v>
      </c>
      <c r="H355" s="11">
        <f t="shared" si="140"/>
        <v>87.75</v>
      </c>
      <c r="I355" s="59"/>
      <c r="J355" s="55"/>
      <c r="K355" s="60"/>
      <c r="L355" s="60"/>
      <c r="M355" s="60"/>
      <c r="N355" s="60"/>
      <c r="O355" s="61"/>
      <c r="P355" s="38"/>
      <c r="Q355" s="38"/>
      <c r="R355" s="38"/>
      <c r="S355" s="62"/>
      <c r="T355" s="12"/>
      <c r="U355" s="22"/>
      <c r="V355" s="12"/>
      <c r="W355" s="23"/>
      <c r="X355" s="65"/>
      <c r="Y355" s="66"/>
      <c r="Z355" s="67"/>
      <c r="AA355" s="55"/>
      <c r="AB355" s="58"/>
      <c r="AC355" s="68"/>
      <c r="AD355" s="69"/>
      <c r="AE355" s="22"/>
      <c r="AF355" s="12"/>
      <c r="AG355" s="12"/>
      <c r="AH355" s="48"/>
      <c r="AI355" s="27"/>
    </row>
    <row r="356" spans="1:35" s="54" customFormat="1" ht="12.75" customHeight="1">
      <c r="A356" s="89">
        <f>H356/100+302.828</f>
        <v>303.73049999999995</v>
      </c>
      <c r="B356" s="90" t="s">
        <v>49</v>
      </c>
      <c r="C356" s="58" t="s">
        <v>126</v>
      </c>
      <c r="D356" s="58">
        <v>2</v>
      </c>
      <c r="E356" s="55" t="s">
        <v>128</v>
      </c>
      <c r="F356" s="56">
        <v>87.5</v>
      </c>
      <c r="G356" s="57">
        <v>93</v>
      </c>
      <c r="H356" s="11">
        <f t="shared" si="140"/>
        <v>90.25</v>
      </c>
      <c r="I356" s="59"/>
      <c r="J356" s="55"/>
      <c r="K356" s="60"/>
      <c r="L356" s="60"/>
      <c r="M356" s="60"/>
      <c r="N356" s="60"/>
      <c r="O356" s="61"/>
      <c r="P356" s="38"/>
      <c r="Q356" s="38"/>
      <c r="R356" s="38"/>
      <c r="S356" s="62"/>
      <c r="T356" s="12"/>
      <c r="U356" s="22"/>
      <c r="V356" s="12"/>
      <c r="W356" s="23"/>
      <c r="X356" s="65"/>
      <c r="Y356" s="66"/>
      <c r="Z356" s="67"/>
      <c r="AA356" s="55"/>
      <c r="AB356" s="58"/>
      <c r="AC356" s="68"/>
      <c r="AD356" s="69"/>
      <c r="AE356" s="22"/>
      <c r="AF356" s="12"/>
      <c r="AG356" s="12"/>
      <c r="AH356" s="48"/>
      <c r="AI356" s="27"/>
    </row>
    <row r="357" spans="1:35" s="54" customFormat="1" ht="12.75" customHeight="1">
      <c r="A357" s="89">
        <f>H357/100+304.166</f>
        <v>304.551</v>
      </c>
      <c r="B357" s="90" t="s">
        <v>49</v>
      </c>
      <c r="C357" s="58" t="s">
        <v>126</v>
      </c>
      <c r="D357" s="58">
        <v>3</v>
      </c>
      <c r="E357" s="55" t="s">
        <v>121</v>
      </c>
      <c r="F357" s="56">
        <v>38</v>
      </c>
      <c r="G357" s="57">
        <v>39</v>
      </c>
      <c r="H357" s="11">
        <f t="shared" si="140"/>
        <v>38.5</v>
      </c>
      <c r="I357" s="59"/>
      <c r="J357" s="55">
        <v>90</v>
      </c>
      <c r="K357" s="60">
        <v>9</v>
      </c>
      <c r="L357" s="60">
        <v>180</v>
      </c>
      <c r="M357" s="60">
        <v>9</v>
      </c>
      <c r="N357" s="60"/>
      <c r="O357" s="61"/>
      <c r="P357" s="38">
        <f>COS(K357*PI()/180)*SIN(J357*PI()/180)*(SIN((M357)*PI()/180))-(COS((M357)*PI()/180)*SIN(L357*PI()/180))*(SIN(K357*PI()/180))</f>
        <v>0.1545084971874737</v>
      </c>
      <c r="Q357" s="38">
        <f>(SIN(K357*PI()/180))*(COS((M357)*PI()/180)*COS(L357*PI()/180))-(SIN((M357)*PI()/180))*(COS(K357*PI()/180)*COS(J357*PI()/180))</f>
        <v>-0.15450849718747373</v>
      </c>
      <c r="R357" s="38">
        <f>(COS(K357*PI()/180)*COS(J357*PI()/180))*(COS((M357)*PI()/180)*SIN(L357*PI()/180))-(COS(K357*PI()/180)*SIN(J357*PI()/180))*(COS((M357)*PI()/180)*COS(L357*PI()/180))</f>
        <v>0.9755282581475768</v>
      </c>
      <c r="S357" s="62">
        <f>IF(P357=0,IF(Q357&gt;=0,90,270),IF(P357&gt;0,IF(Q357&gt;=0,ATAN(Q357/P357)*180/PI(),ATAN(Q357/P357)*180/PI()+360),ATAN(Q357/P357)*180/PI()+180))</f>
        <v>315</v>
      </c>
      <c r="T357" s="12">
        <f>ASIN(R357/SQRT(P357^2+Q357^2+R357^2))*180/PI()</f>
        <v>77.374740153737</v>
      </c>
      <c r="U357" s="22">
        <f>IF(R357&lt;0,S357,IF(S357+180&gt;=360,S357-180,S357+180))</f>
        <v>135</v>
      </c>
      <c r="V357" s="12">
        <f>IF(U357-90&lt;0,U357+270,U357-90)</f>
        <v>45</v>
      </c>
      <c r="W357" s="23">
        <f>IF(R357&lt;0,90+T357,90-T357)</f>
        <v>12.625259846263006</v>
      </c>
      <c r="X357" s="65"/>
      <c r="Y357" s="66"/>
      <c r="Z357" s="67"/>
      <c r="AA357" s="55">
        <v>36</v>
      </c>
      <c r="AB357" s="58">
        <v>42</v>
      </c>
      <c r="AC357" s="68">
        <v>-43.1</v>
      </c>
      <c r="AD357" s="69">
        <v>-29.2</v>
      </c>
      <c r="AE357" s="22">
        <f>IF(AD357&gt;=0,IF(U357&gt;=AC357,U357-AC357,U357-AC357+360),IF((U357-AC357-180)&lt;0,IF(U357-AC357+180&lt;0,U357-AC357+540,U357-AC357+180),U357-AC357-180))</f>
        <v>358.1</v>
      </c>
      <c r="AF357" s="12">
        <f>IF(AE357-90&lt;0,AE357+270,AE357-90)</f>
        <v>268.1</v>
      </c>
      <c r="AG357" s="12">
        <f>W357</f>
        <v>12.625259846263006</v>
      </c>
      <c r="AH357" s="48"/>
      <c r="AI357" s="27"/>
    </row>
    <row r="358" spans="1:35" s="54" customFormat="1" ht="12.75" customHeight="1">
      <c r="A358" s="89">
        <f>H358/100+305.499</f>
        <v>305.97650000000004</v>
      </c>
      <c r="B358" s="90" t="s">
        <v>49</v>
      </c>
      <c r="C358" s="58" t="s">
        <v>126</v>
      </c>
      <c r="D358" s="58">
        <v>4</v>
      </c>
      <c r="E358" s="55" t="s">
        <v>121</v>
      </c>
      <c r="F358" s="56">
        <v>47.5</v>
      </c>
      <c r="G358" s="57">
        <v>48</v>
      </c>
      <c r="H358" s="11">
        <f t="shared" si="140"/>
        <v>47.75</v>
      </c>
      <c r="I358" s="59"/>
      <c r="J358" s="55">
        <v>270</v>
      </c>
      <c r="K358" s="60">
        <v>4</v>
      </c>
      <c r="L358" s="60">
        <v>180</v>
      </c>
      <c r="M358" s="60">
        <v>16</v>
      </c>
      <c r="N358" s="60"/>
      <c r="O358" s="61"/>
      <c r="P358" s="38">
        <f>COS(K358*PI()/180)*SIN(J358*PI()/180)*(SIN((M358)*PI()/180))-(COS((M358)*PI()/180)*SIN(L358*PI()/180))*(SIN(K358*PI()/180))</f>
        <v>-0.27496591707171397</v>
      </c>
      <c r="Q358" s="38">
        <f>(SIN(K358*PI()/180))*(COS((M358)*PI()/180)*COS(L358*PI()/180))-(SIN((M358)*PI()/180))*(COS(K358*PI()/180)*COS(J358*PI()/180))</f>
        <v>-0.06705422625395464</v>
      </c>
      <c r="R358" s="38">
        <f>(COS(K358*PI()/180)*COS(J358*PI()/180))*(COS((M358)*PI()/180)*SIN(L358*PI()/180))-(COS(K358*PI()/180)*SIN(J358*PI()/180))*(COS((M358)*PI()/180)*COS(L358*PI()/180))</f>
        <v>-0.958920110759857</v>
      </c>
      <c r="S358" s="62">
        <f>IF(P358=0,IF(Q358&gt;=0,90,270),IF(P358&gt;0,IF(Q358&gt;=0,ATAN(Q358/P358)*180/PI(),ATAN(Q358/P358)*180/PI()+360),ATAN(Q358/P358)*180/PI()+180))</f>
        <v>193.70487002944188</v>
      </c>
      <c r="T358" s="12">
        <f>ASIN(R358/SQRT(P358^2+Q358^2+R358^2))*180/PI()</f>
        <v>-73.55611042117746</v>
      </c>
      <c r="U358" s="22">
        <f>IF(R358&lt;0,S358,IF(S358+180&gt;=360,S358-180,S358+180))</f>
        <v>193.70487002944188</v>
      </c>
      <c r="V358" s="12">
        <f>IF(U358-90&lt;0,U358+270,U358-90)</f>
        <v>103.70487002944188</v>
      </c>
      <c r="W358" s="23">
        <f>IF(R358&lt;0,90+T358,90-T358)</f>
        <v>16.443889578822535</v>
      </c>
      <c r="X358" s="65"/>
      <c r="Y358" s="66"/>
      <c r="Z358" s="67"/>
      <c r="AA358" s="55"/>
      <c r="AB358" s="58"/>
      <c r="AC358" s="68"/>
      <c r="AD358" s="69"/>
      <c r="AE358" s="22"/>
      <c r="AF358" s="12"/>
      <c r="AG358" s="12"/>
      <c r="AH358" s="48"/>
      <c r="AI358" s="27"/>
    </row>
    <row r="359" spans="1:35" s="54" customFormat="1" ht="12.75" customHeight="1">
      <c r="A359" s="89">
        <f>H359/100+306.656</f>
        <v>307.336</v>
      </c>
      <c r="B359" s="90" t="s">
        <v>49</v>
      </c>
      <c r="C359" s="58" t="s">
        <v>126</v>
      </c>
      <c r="D359" s="58">
        <v>6</v>
      </c>
      <c r="E359" s="55" t="s">
        <v>123</v>
      </c>
      <c r="F359" s="56">
        <v>68</v>
      </c>
      <c r="G359" s="57">
        <v>68</v>
      </c>
      <c r="H359" s="11">
        <f t="shared" si="140"/>
        <v>68</v>
      </c>
      <c r="I359" s="59"/>
      <c r="J359" s="55"/>
      <c r="K359" s="60"/>
      <c r="L359" s="60"/>
      <c r="M359" s="60"/>
      <c r="N359" s="60"/>
      <c r="O359" s="61"/>
      <c r="P359" s="38"/>
      <c r="Q359" s="38"/>
      <c r="R359" s="38"/>
      <c r="S359" s="62"/>
      <c r="T359" s="12"/>
      <c r="U359" s="22"/>
      <c r="V359" s="12"/>
      <c r="W359" s="23"/>
      <c r="X359" s="65"/>
      <c r="Y359" s="66"/>
      <c r="Z359" s="67"/>
      <c r="AA359" s="55"/>
      <c r="AB359" s="58"/>
      <c r="AC359" s="68"/>
      <c r="AD359" s="69"/>
      <c r="AE359" s="22"/>
      <c r="AF359" s="12"/>
      <c r="AG359" s="12"/>
      <c r="AH359" s="48"/>
      <c r="AI359" s="27"/>
    </row>
    <row r="360" spans="1:35" s="54" customFormat="1" ht="12.75" customHeight="1">
      <c r="A360" s="89">
        <f>H360/100+307.989</f>
        <v>308.19649999999996</v>
      </c>
      <c r="B360" s="90" t="s">
        <v>49</v>
      </c>
      <c r="C360" s="58" t="s">
        <v>126</v>
      </c>
      <c r="D360" s="58">
        <v>7</v>
      </c>
      <c r="E360" s="55" t="s">
        <v>123</v>
      </c>
      <c r="F360" s="56">
        <v>20.5</v>
      </c>
      <c r="G360" s="57">
        <v>21</v>
      </c>
      <c r="H360" s="11">
        <f t="shared" si="140"/>
        <v>20.75</v>
      </c>
      <c r="I360" s="59"/>
      <c r="J360" s="55"/>
      <c r="K360" s="60"/>
      <c r="L360" s="60"/>
      <c r="M360" s="60"/>
      <c r="N360" s="60"/>
      <c r="O360" s="61"/>
      <c r="P360" s="38"/>
      <c r="Q360" s="38"/>
      <c r="R360" s="38"/>
      <c r="S360" s="62"/>
      <c r="T360" s="12"/>
      <c r="U360" s="22"/>
      <c r="V360" s="12"/>
      <c r="W360" s="23"/>
      <c r="X360" s="65"/>
      <c r="Y360" s="66"/>
      <c r="Z360" s="67"/>
      <c r="AA360" s="55"/>
      <c r="AB360" s="58"/>
      <c r="AC360" s="68"/>
      <c r="AD360" s="69"/>
      <c r="AE360" s="22"/>
      <c r="AF360" s="12"/>
      <c r="AG360" s="12"/>
      <c r="AH360" s="48"/>
      <c r="AI360" s="27"/>
    </row>
    <row r="361" spans="1:35" s="54" customFormat="1" ht="12.75" customHeight="1">
      <c r="A361" s="89">
        <f>H361/100+309.322</f>
        <v>309.682</v>
      </c>
      <c r="B361" s="90" t="s">
        <v>49</v>
      </c>
      <c r="C361" s="58" t="s">
        <v>126</v>
      </c>
      <c r="D361" s="58">
        <v>8</v>
      </c>
      <c r="E361" s="55" t="s">
        <v>127</v>
      </c>
      <c r="F361" s="56">
        <v>35.5</v>
      </c>
      <c r="G361" s="57">
        <v>36.5</v>
      </c>
      <c r="H361" s="11">
        <f t="shared" si="140"/>
        <v>36</v>
      </c>
      <c r="I361" s="59"/>
      <c r="J361" s="55"/>
      <c r="K361" s="60"/>
      <c r="L361" s="60"/>
      <c r="M361" s="60"/>
      <c r="N361" s="60"/>
      <c r="O361" s="61"/>
      <c r="P361" s="38"/>
      <c r="Q361" s="38"/>
      <c r="R361" s="38"/>
      <c r="S361" s="62"/>
      <c r="T361" s="12"/>
      <c r="U361" s="22"/>
      <c r="V361" s="12"/>
      <c r="W361" s="23"/>
      <c r="X361" s="65"/>
      <c r="Y361" s="66"/>
      <c r="Z361" s="67"/>
      <c r="AA361" s="55"/>
      <c r="AB361" s="58"/>
      <c r="AC361" s="68"/>
      <c r="AD361" s="69"/>
      <c r="AE361" s="22"/>
      <c r="AF361" s="12"/>
      <c r="AG361" s="12"/>
      <c r="AH361" s="48"/>
      <c r="AI361" s="27"/>
    </row>
    <row r="362" spans="1:35" s="54" customFormat="1" ht="12.75" customHeight="1">
      <c r="A362" s="89">
        <f>H362/100+311</f>
        <v>311.8725</v>
      </c>
      <c r="B362" s="90" t="s">
        <v>49</v>
      </c>
      <c r="C362" s="58" t="s">
        <v>129</v>
      </c>
      <c r="D362" s="58">
        <v>1</v>
      </c>
      <c r="E362" s="55" t="s">
        <v>121</v>
      </c>
      <c r="F362" s="56">
        <v>87</v>
      </c>
      <c r="G362" s="57">
        <v>87.5</v>
      </c>
      <c r="H362" s="11">
        <f t="shared" si="140"/>
        <v>87.25</v>
      </c>
      <c r="I362" s="59"/>
      <c r="J362" s="55">
        <v>270</v>
      </c>
      <c r="K362" s="60">
        <v>9</v>
      </c>
      <c r="L362" s="60">
        <v>180</v>
      </c>
      <c r="M362" s="60">
        <v>7</v>
      </c>
      <c r="N362" s="60"/>
      <c r="O362" s="61"/>
      <c r="P362" s="38">
        <f>COS(K362*PI()/180)*SIN(J362*PI()/180)*(SIN((M362)*PI()/180))-(COS((M362)*PI()/180)*SIN(L362*PI()/180))*(SIN(K362*PI()/180))</f>
        <v>-0.12036892955724912</v>
      </c>
      <c r="Q362" s="38">
        <f>(SIN(K362*PI()/180))*(COS((M362)*PI()/180)*COS(L362*PI()/180))-(SIN((M362)*PI()/180))*(COS(K362*PI()/180)*COS(J362*PI()/180))</f>
        <v>-0.15526842625975004</v>
      </c>
      <c r="R362" s="38">
        <f>(COS(K362*PI()/180)*COS(J362*PI()/180))*(COS((M362)*PI()/180)*SIN(L362*PI()/180))-(COS(K362*PI()/180)*SIN(J362*PI()/180))*(COS((M362)*PI()/180)*COS(L362*PI()/180))</f>
        <v>-0.9803262614787073</v>
      </c>
      <c r="S362" s="62">
        <f>IF(P362=0,IF(Q362&gt;=0,90,270),IF(P362&gt;0,IF(Q362&gt;=0,ATAN(Q362/P362)*180/PI(),ATAN(Q362/P362)*180/PI()+360),ATAN(Q362/P362)*180/PI()+180))</f>
        <v>232.21604034902853</v>
      </c>
      <c r="T362" s="12">
        <f>ASIN(R362/SQRT(P362^2+Q362^2+R362^2))*180/PI()</f>
        <v>-78.66782357766513</v>
      </c>
      <c r="U362" s="22">
        <f>IF(R362&lt;0,S362,IF(S362+180&gt;=360,S362-180,S362+180))</f>
        <v>232.21604034902853</v>
      </c>
      <c r="V362" s="12">
        <f>IF(U362-90&lt;0,U362+270,U362-90)</f>
        <v>142.21604034902853</v>
      </c>
      <c r="W362" s="23">
        <f>IF(R362&lt;0,90+T362,90-T362)</f>
        <v>11.332176422334868</v>
      </c>
      <c r="X362" s="65"/>
      <c r="Y362" s="66"/>
      <c r="Z362" s="67"/>
      <c r="AA362" s="55">
        <v>84</v>
      </c>
      <c r="AB362" s="58">
        <v>90</v>
      </c>
      <c r="AC362" s="68">
        <v>-115.8</v>
      </c>
      <c r="AD362" s="69">
        <v>-11.2</v>
      </c>
      <c r="AE362" s="22">
        <f>IF(AD362&gt;=0,IF(U362&gt;=AC362,U362-AC362,U362-AC362+360),IF((U362-AC362-180)&lt;0,IF(U362-AC362+180&lt;0,U362-AC362+540,U362-AC362+180),U362-AC362-180))</f>
        <v>168.01604034902851</v>
      </c>
      <c r="AF362" s="12">
        <f>IF(AE362-90&lt;0,AE362+270,AE362-90)</f>
        <v>78.01604034902851</v>
      </c>
      <c r="AG362" s="12">
        <f>W362</f>
        <v>11.332176422334868</v>
      </c>
      <c r="AH362" s="48"/>
      <c r="AI362" s="27"/>
    </row>
    <row r="363" spans="1:35" s="54" customFormat="1" ht="12.75" customHeight="1">
      <c r="A363" s="89">
        <f>H363/100+311</f>
        <v>312.12</v>
      </c>
      <c r="B363" s="90" t="s">
        <v>49</v>
      </c>
      <c r="C363" s="58" t="s">
        <v>129</v>
      </c>
      <c r="D363" s="58">
        <v>1</v>
      </c>
      <c r="E363" s="55" t="s">
        <v>123</v>
      </c>
      <c r="F363" s="56">
        <v>111.5</v>
      </c>
      <c r="G363" s="57">
        <v>112.5</v>
      </c>
      <c r="H363" s="11">
        <f t="shared" si="140"/>
        <v>112</v>
      </c>
      <c r="I363" s="59"/>
      <c r="J363" s="55"/>
      <c r="K363" s="60"/>
      <c r="L363" s="60"/>
      <c r="M363" s="60"/>
      <c r="N363" s="60"/>
      <c r="O363" s="61"/>
      <c r="P363" s="38"/>
      <c r="Q363" s="38"/>
      <c r="R363" s="38"/>
      <c r="S363" s="62"/>
      <c r="T363" s="12"/>
      <c r="U363" s="22"/>
      <c r="V363" s="12"/>
      <c r="W363" s="23"/>
      <c r="X363" s="65"/>
      <c r="Y363" s="66"/>
      <c r="Z363" s="67"/>
      <c r="AA363" s="55"/>
      <c r="AB363" s="58"/>
      <c r="AC363" s="68"/>
      <c r="AD363" s="69"/>
      <c r="AE363" s="22"/>
      <c r="AF363" s="12"/>
      <c r="AG363" s="12"/>
      <c r="AH363" s="48"/>
      <c r="AI363" s="27"/>
    </row>
    <row r="364" spans="1:35" s="54" customFormat="1" ht="12.75" customHeight="1">
      <c r="A364" s="89">
        <f>H364/100+311</f>
        <v>312.244</v>
      </c>
      <c r="B364" s="90" t="s">
        <v>49</v>
      </c>
      <c r="C364" s="58" t="s">
        <v>129</v>
      </c>
      <c r="D364" s="58">
        <v>1</v>
      </c>
      <c r="E364" s="55" t="s">
        <v>121</v>
      </c>
      <c r="F364" s="56">
        <v>124.3</v>
      </c>
      <c r="G364" s="57">
        <v>124.5</v>
      </c>
      <c r="H364" s="11">
        <f t="shared" si="140"/>
        <v>124.4</v>
      </c>
      <c r="I364" s="59"/>
      <c r="J364" s="55"/>
      <c r="K364" s="60"/>
      <c r="L364" s="60"/>
      <c r="M364" s="60"/>
      <c r="N364" s="60"/>
      <c r="O364" s="61"/>
      <c r="P364" s="38"/>
      <c r="Q364" s="38"/>
      <c r="R364" s="38"/>
      <c r="S364" s="62"/>
      <c r="T364" s="12"/>
      <c r="U364" s="22"/>
      <c r="V364" s="12"/>
      <c r="W364" s="23"/>
      <c r="X364" s="65"/>
      <c r="Y364" s="66"/>
      <c r="Z364" s="67"/>
      <c r="AA364" s="55"/>
      <c r="AB364" s="58"/>
      <c r="AC364" s="68"/>
      <c r="AD364" s="69"/>
      <c r="AE364" s="22"/>
      <c r="AF364" s="12"/>
      <c r="AG364" s="12"/>
      <c r="AH364" s="48"/>
      <c r="AI364" s="27"/>
    </row>
    <row r="365" spans="1:35" s="54" customFormat="1" ht="12.75" customHeight="1">
      <c r="A365" s="89">
        <f>H365/100+312.35</f>
        <v>313.675</v>
      </c>
      <c r="B365" s="90" t="s">
        <v>49</v>
      </c>
      <c r="C365" s="58" t="s">
        <v>129</v>
      </c>
      <c r="D365" s="58">
        <v>2</v>
      </c>
      <c r="E365" s="55" t="s">
        <v>123</v>
      </c>
      <c r="F365" s="56">
        <v>132</v>
      </c>
      <c r="G365" s="57">
        <v>133</v>
      </c>
      <c r="H365" s="11">
        <f t="shared" si="140"/>
        <v>132.5</v>
      </c>
      <c r="I365" s="59"/>
      <c r="J365" s="55"/>
      <c r="K365" s="60"/>
      <c r="L365" s="60"/>
      <c r="M365" s="60"/>
      <c r="N365" s="60"/>
      <c r="O365" s="61"/>
      <c r="P365" s="38"/>
      <c r="Q365" s="38"/>
      <c r="R365" s="38"/>
      <c r="S365" s="62"/>
      <c r="T365" s="12"/>
      <c r="U365" s="22"/>
      <c r="V365" s="12"/>
      <c r="W365" s="23"/>
      <c r="X365" s="65"/>
      <c r="Y365" s="66"/>
      <c r="Z365" s="67"/>
      <c r="AA365" s="55"/>
      <c r="AB365" s="58"/>
      <c r="AC365" s="68"/>
      <c r="AD365" s="69"/>
      <c r="AE365" s="22"/>
      <c r="AF365" s="12"/>
      <c r="AG365" s="12"/>
      <c r="AH365" s="48"/>
      <c r="AI365" s="27"/>
    </row>
    <row r="366" spans="1:35" s="54" customFormat="1" ht="12.75" customHeight="1">
      <c r="A366" s="89">
        <f>H366/100+313.76</f>
        <v>313.9225</v>
      </c>
      <c r="B366" s="90" t="s">
        <v>49</v>
      </c>
      <c r="C366" s="58" t="s">
        <v>129</v>
      </c>
      <c r="D366" s="58">
        <v>3</v>
      </c>
      <c r="E366" s="55" t="s">
        <v>121</v>
      </c>
      <c r="F366" s="56">
        <v>16</v>
      </c>
      <c r="G366" s="57">
        <v>16.5</v>
      </c>
      <c r="H366" s="11">
        <f t="shared" si="140"/>
        <v>16.25</v>
      </c>
      <c r="I366" s="59"/>
      <c r="J366" s="55"/>
      <c r="K366" s="60"/>
      <c r="L366" s="60"/>
      <c r="M366" s="60"/>
      <c r="N366" s="60"/>
      <c r="O366" s="61"/>
      <c r="P366" s="38"/>
      <c r="Q366" s="38"/>
      <c r="R366" s="38"/>
      <c r="S366" s="62"/>
      <c r="T366" s="12"/>
      <c r="U366" s="22"/>
      <c r="V366" s="12"/>
      <c r="W366" s="23"/>
      <c r="X366" s="65"/>
      <c r="Y366" s="66"/>
      <c r="Z366" s="67"/>
      <c r="AA366" s="55"/>
      <c r="AB366" s="58"/>
      <c r="AC366" s="68"/>
      <c r="AD366" s="69"/>
      <c r="AE366" s="22"/>
      <c r="AF366" s="12"/>
      <c r="AG366" s="12"/>
      <c r="AH366" s="48"/>
      <c r="AI366" s="27"/>
    </row>
    <row r="367" spans="1:35" s="54" customFormat="1" ht="12.75" customHeight="1">
      <c r="A367" s="89">
        <f>H367/100+315.175</f>
        <v>315.575</v>
      </c>
      <c r="B367" s="90" t="s">
        <v>49</v>
      </c>
      <c r="C367" s="58" t="s">
        <v>129</v>
      </c>
      <c r="D367" s="58">
        <v>4</v>
      </c>
      <c r="E367" s="55" t="s">
        <v>128</v>
      </c>
      <c r="F367" s="56">
        <v>37</v>
      </c>
      <c r="G367" s="57">
        <v>43</v>
      </c>
      <c r="H367" s="11">
        <f t="shared" si="140"/>
        <v>40</v>
      </c>
      <c r="I367" s="59"/>
      <c r="J367" s="55">
        <v>270</v>
      </c>
      <c r="K367" s="60">
        <v>54</v>
      </c>
      <c r="L367" s="60">
        <v>180</v>
      </c>
      <c r="M367" s="60">
        <v>66</v>
      </c>
      <c r="N367" s="60"/>
      <c r="O367" s="61"/>
      <c r="P367" s="38">
        <f>COS(K367*PI()/180)*SIN(J367*PI()/180)*(SIN((M367)*PI()/180))-(COS((M367)*PI()/180)*SIN(L367*PI()/180))*(SIN(K367*PI()/180))</f>
        <v>-0.536968547301099</v>
      </c>
      <c r="Q367" s="38">
        <f>(SIN(K367*PI()/180))*(COS((M367)*PI()/180)*COS(L367*PI()/180))-(SIN((M367)*PI()/180))*(COS(K367*PI()/180)*COS(J367*PI()/180))</f>
        <v>-0.32905685648333954</v>
      </c>
      <c r="R367" s="38">
        <f>(COS(K367*PI()/180)*COS(J367*PI()/180))*(COS((M367)*PI()/180)*SIN(L367*PI()/180))-(COS(K367*PI()/180)*SIN(J367*PI()/180))*(COS((M367)*PI()/180)*COS(L367*PI()/180))</f>
        <v>-0.23907380036690282</v>
      </c>
      <c r="S367" s="62">
        <f>IF(P367=0,IF(Q367&gt;=0,90,270),IF(P367&gt;0,IF(Q367&gt;=0,ATAN(Q367/P367)*180/PI(),ATAN(Q367/P367)*180/PI()+360),ATAN(Q367/P367)*180/PI()+180))</f>
        <v>211.50016348213495</v>
      </c>
      <c r="T367" s="12">
        <f>ASIN(R367/SQRT(P367^2+Q367^2+R367^2))*180/PI()</f>
        <v>-20.78772316875247</v>
      </c>
      <c r="U367" s="22">
        <f>IF(R367&lt;0,S367,IF(S367+180&gt;=360,S367-180,S367+180))</f>
        <v>211.50016348213495</v>
      </c>
      <c r="V367" s="12">
        <f>IF(U367-90&lt;0,U367+270,U367-90)</f>
        <v>121.50016348213495</v>
      </c>
      <c r="W367" s="23">
        <f>IF(R367&lt;0,90+T367,90-T367)</f>
        <v>69.21227683124752</v>
      </c>
      <c r="X367" s="65"/>
      <c r="Y367" s="66"/>
      <c r="Z367" s="67"/>
      <c r="AA367" s="55"/>
      <c r="AB367" s="58"/>
      <c r="AC367" s="68"/>
      <c r="AD367" s="69"/>
      <c r="AE367" s="22"/>
      <c r="AF367" s="12"/>
      <c r="AG367" s="12"/>
      <c r="AH367" s="48"/>
      <c r="AI367" s="27"/>
    </row>
    <row r="368" spans="1:35" s="54" customFormat="1" ht="12.75" customHeight="1">
      <c r="A368" s="89">
        <f>H368/100+316.775</f>
        <v>317.5</v>
      </c>
      <c r="B368" s="90" t="s">
        <v>49</v>
      </c>
      <c r="C368" s="58" t="s">
        <v>129</v>
      </c>
      <c r="D368" s="58">
        <v>6</v>
      </c>
      <c r="E368" s="55" t="s">
        <v>121</v>
      </c>
      <c r="F368" s="56">
        <v>72</v>
      </c>
      <c r="G368" s="57">
        <v>73</v>
      </c>
      <c r="H368" s="11">
        <f t="shared" si="140"/>
        <v>72.5</v>
      </c>
      <c r="I368" s="59"/>
      <c r="J368" s="55"/>
      <c r="K368" s="60"/>
      <c r="L368" s="60"/>
      <c r="M368" s="60"/>
      <c r="N368" s="60"/>
      <c r="O368" s="61"/>
      <c r="P368" s="38"/>
      <c r="Q368" s="38"/>
      <c r="R368" s="38"/>
      <c r="S368" s="62"/>
      <c r="T368" s="12"/>
      <c r="U368" s="22"/>
      <c r="V368" s="12"/>
      <c r="W368" s="23"/>
      <c r="X368" s="65"/>
      <c r="Y368" s="66"/>
      <c r="Z368" s="67"/>
      <c r="AA368" s="55"/>
      <c r="AB368" s="58"/>
      <c r="AC368" s="68"/>
      <c r="AD368" s="69"/>
      <c r="AE368" s="22"/>
      <c r="AF368" s="12"/>
      <c r="AG368" s="12"/>
      <c r="AH368" s="48"/>
      <c r="AI368" s="27"/>
    </row>
    <row r="369" spans="1:35" s="54" customFormat="1" ht="12.75" customHeight="1">
      <c r="A369" s="89">
        <f>H369/100+316.775</f>
        <v>317.625</v>
      </c>
      <c r="B369" s="90" t="s">
        <v>49</v>
      </c>
      <c r="C369" s="58" t="s">
        <v>129</v>
      </c>
      <c r="D369" s="58">
        <v>6</v>
      </c>
      <c r="E369" s="55" t="s">
        <v>121</v>
      </c>
      <c r="F369" s="56">
        <v>84</v>
      </c>
      <c r="G369" s="57">
        <v>86</v>
      </c>
      <c r="H369" s="11">
        <f t="shared" si="140"/>
        <v>85</v>
      </c>
      <c r="I369" s="59"/>
      <c r="J369" s="55">
        <v>270</v>
      </c>
      <c r="K369" s="60">
        <v>9</v>
      </c>
      <c r="L369" s="60">
        <v>0</v>
      </c>
      <c r="M369" s="60">
        <v>3</v>
      </c>
      <c r="N369" s="60"/>
      <c r="O369" s="61"/>
      <c r="P369" s="38">
        <f>COS(K369*PI()/180)*SIN(J369*PI()/180)*(SIN((M369)*PI()/180))-(COS((M369)*PI()/180)*SIN(L369*PI()/180))*(SIN(K369*PI()/180))</f>
        <v>-0.05169161377505293</v>
      </c>
      <c r="Q369" s="38">
        <f>(SIN(K369*PI()/180))*(COS((M369)*PI()/180)*COS(L369*PI()/180))-(SIN((M369)*PI()/180))*(COS(K369*PI()/180)*COS(J369*PI()/180))</f>
        <v>0.1562200770427064</v>
      </c>
      <c r="R369" s="38">
        <f>(COS(K369*PI()/180)*COS(J369*PI()/180))*(COS((M369)*PI()/180)*SIN(L369*PI()/180))-(COS(K369*PI()/180)*SIN(J369*PI()/180))*(COS((M369)*PI()/180)*COS(L369*PI()/180))</f>
        <v>0.9863347480510395</v>
      </c>
      <c r="S369" s="62">
        <f>IF(P369=0,IF(Q369&gt;=0,90,270),IF(P369&gt;0,IF(Q369&gt;=0,ATAN(Q369/P369)*180/PI(),ATAN(Q369/P369)*180/PI()+360),ATAN(Q369/P369)*180/PI()+180))</f>
        <v>108.3088474784983</v>
      </c>
      <c r="T369" s="12">
        <f>ASIN(R369/SQRT(P369^2+Q369^2+R369^2))*180/PI()</f>
        <v>80.52857977265462</v>
      </c>
      <c r="U369" s="22">
        <f>IF(R369&lt;0,S369,IF(S369+180&gt;=360,S369-180,S369+180))</f>
        <v>288.3088474784983</v>
      </c>
      <c r="V369" s="12">
        <f>IF(U369-90&lt;0,U369+270,U369-90)</f>
        <v>198.3088474784983</v>
      </c>
      <c r="W369" s="23">
        <f>IF(R369&lt;0,90+T369,90-T369)</f>
        <v>9.471420227345376</v>
      </c>
      <c r="X369" s="65"/>
      <c r="Y369" s="66"/>
      <c r="Z369" s="67"/>
      <c r="AA369" s="55"/>
      <c r="AB369" s="58"/>
      <c r="AC369" s="68"/>
      <c r="AD369" s="69"/>
      <c r="AE369" s="22"/>
      <c r="AF369" s="12"/>
      <c r="AG369" s="12"/>
      <c r="AH369" s="48"/>
      <c r="AI369" s="27"/>
    </row>
    <row r="370" spans="1:35" s="54" customFormat="1" ht="12.75" customHeight="1">
      <c r="A370" s="89">
        <f>H370/100+316.775</f>
        <v>317.67749999999995</v>
      </c>
      <c r="B370" s="90" t="s">
        <v>49</v>
      </c>
      <c r="C370" s="58" t="s">
        <v>129</v>
      </c>
      <c r="D370" s="58">
        <v>6</v>
      </c>
      <c r="E370" s="55" t="s">
        <v>121</v>
      </c>
      <c r="F370" s="56">
        <v>90</v>
      </c>
      <c r="G370" s="57">
        <v>90.5</v>
      </c>
      <c r="H370" s="11">
        <f t="shared" si="140"/>
        <v>90.25</v>
      </c>
      <c r="I370" s="59"/>
      <c r="J370" s="55">
        <v>90</v>
      </c>
      <c r="K370" s="60">
        <v>7</v>
      </c>
      <c r="L370" s="60">
        <v>180</v>
      </c>
      <c r="M370" s="60">
        <v>10</v>
      </c>
      <c r="N370" s="60"/>
      <c r="O370" s="61"/>
      <c r="P370" s="38">
        <f>COS(K370*PI()/180)*SIN(J370*PI()/180)*(SIN((M370)*PI()/180))-(COS((M370)*PI()/180)*SIN(L370*PI()/180))*(SIN(K370*PI()/180))</f>
        <v>0.17235383048284023</v>
      </c>
      <c r="Q370" s="38">
        <f>(SIN(K370*PI()/180))*(COS((M370)*PI()/180)*COS(L370*PI()/180))-(SIN((M370)*PI()/180))*(COS(K370*PI()/180)*COS(J370*PI()/180))</f>
        <v>-0.12001787423989645</v>
      </c>
      <c r="R370" s="38">
        <f>(COS(K370*PI()/180)*COS(J370*PI()/180))*(COS((M370)*PI()/180)*SIN(L370*PI()/180))-(COS(K370*PI()/180)*SIN(J370*PI()/180))*(COS((M370)*PI()/180)*COS(L370*PI()/180))</f>
        <v>0.9774671453588046</v>
      </c>
      <c r="S370" s="62">
        <f>IF(P370=0,IF(Q370&gt;=0,90,270),IF(P370&gt;0,IF(Q370&gt;=0,ATAN(Q370/P370)*180/PI(),ATAN(Q370/P370)*180/PI()+360),ATAN(Q370/P370)*180/PI()+180))</f>
        <v>325.148736250549</v>
      </c>
      <c r="T370" s="12">
        <f>ASIN(R370/SQRT(P370^2+Q370^2+R370^2))*180/PI()</f>
        <v>77.87347698248591</v>
      </c>
      <c r="U370" s="22">
        <f>IF(R370&lt;0,S370,IF(S370+180&gt;=360,S370-180,S370+180))</f>
        <v>145.148736250549</v>
      </c>
      <c r="V370" s="12">
        <f>IF(U370-90&lt;0,U370+270,U370-90)</f>
        <v>55.14873625054901</v>
      </c>
      <c r="W370" s="23">
        <f>IF(R370&lt;0,90+T370,90-T370)</f>
        <v>12.126523017514089</v>
      </c>
      <c r="X370" s="65"/>
      <c r="Y370" s="66"/>
      <c r="Z370" s="67"/>
      <c r="AA370" s="55"/>
      <c r="AB370" s="58"/>
      <c r="AC370" s="68"/>
      <c r="AD370" s="69"/>
      <c r="AE370" s="22"/>
      <c r="AF370" s="12"/>
      <c r="AG370" s="12"/>
      <c r="AH370" s="48"/>
      <c r="AI370" s="27"/>
    </row>
    <row r="371" spans="1:35" s="54" customFormat="1" ht="12.75" customHeight="1">
      <c r="A371" s="89">
        <f>H371/100+316.775</f>
        <v>317.69</v>
      </c>
      <c r="B371" s="90" t="s">
        <v>49</v>
      </c>
      <c r="C371" s="58" t="s">
        <v>129</v>
      </c>
      <c r="D371" s="58">
        <v>6</v>
      </c>
      <c r="E371" s="55" t="s">
        <v>130</v>
      </c>
      <c r="F371" s="56">
        <v>91</v>
      </c>
      <c r="G371" s="57">
        <v>92</v>
      </c>
      <c r="H371" s="11">
        <f t="shared" si="140"/>
        <v>91.5</v>
      </c>
      <c r="I371" s="59"/>
      <c r="J371" s="55">
        <v>90</v>
      </c>
      <c r="K371" s="60">
        <v>11</v>
      </c>
      <c r="L371" s="60">
        <v>180</v>
      </c>
      <c r="M371" s="60">
        <v>13</v>
      </c>
      <c r="N371" s="60"/>
      <c r="O371" s="61"/>
      <c r="P371" s="38">
        <f>COS(K371*PI()/180)*SIN(J371*PI()/180)*(SIN((M371)*PI()/180))-(COS((M371)*PI()/180)*SIN(L371*PI()/180))*(SIN(K371*PI()/180))</f>
        <v>0.22081806988915056</v>
      </c>
      <c r="Q371" s="38">
        <f>(SIN(K371*PI()/180))*(COS((M371)*PI()/180)*COS(L371*PI()/180))-(SIN((M371)*PI()/180))*(COS(K371*PI()/180)*COS(J371*PI()/180))</f>
        <v>-0.18591857318664962</v>
      </c>
      <c r="R371" s="38">
        <f>(COS(K371*PI()/180)*COS(J371*PI()/180))*(COS((M371)*PI()/180)*SIN(L371*PI()/180))-(COS(K371*PI()/180)*SIN(J371*PI()/180))*(COS((M371)*PI()/180)*COS(L371*PI()/180))</f>
        <v>0.9564681423308483</v>
      </c>
      <c r="S371" s="62">
        <f>IF(P371=0,IF(Q371&gt;=0,90,270),IF(P371&gt;0,IF(Q371&gt;=0,ATAN(Q371/P371)*180/PI(),ATAN(Q371/P371)*180/PI()+360),ATAN(Q371/P371)*180/PI()+180))</f>
        <v>319.9041764061025</v>
      </c>
      <c r="T371" s="12">
        <f>ASIN(R371/SQRT(P371^2+Q371^2+R371^2))*180/PI()</f>
        <v>73.20613481592667</v>
      </c>
      <c r="U371" s="22">
        <f>IF(R371&lt;0,S371,IF(S371+180&gt;=360,S371-180,S371+180))</f>
        <v>139.90417640610252</v>
      </c>
      <c r="V371" s="12">
        <f>IF(U371-90&lt;0,U371+270,U371-90)</f>
        <v>49.90417640610252</v>
      </c>
      <c r="W371" s="23">
        <f>IF(R371&lt;0,90+T371,90-T371)</f>
        <v>16.793865184073326</v>
      </c>
      <c r="X371" s="65"/>
      <c r="Y371" s="66"/>
      <c r="Z371" s="67"/>
      <c r="AA371" s="55"/>
      <c r="AB371" s="58"/>
      <c r="AC371" s="68"/>
      <c r="AD371" s="69"/>
      <c r="AE371" s="22"/>
      <c r="AF371" s="12"/>
      <c r="AG371" s="12"/>
      <c r="AH371" s="48"/>
      <c r="AI371" s="27"/>
    </row>
    <row r="372" spans="1:35" s="54" customFormat="1" ht="12.75" customHeight="1">
      <c r="A372" s="89">
        <f>H372/100+318.185</f>
        <v>318.2675</v>
      </c>
      <c r="B372" s="90" t="s">
        <v>49</v>
      </c>
      <c r="C372" s="58" t="s">
        <v>129</v>
      </c>
      <c r="D372" s="58">
        <v>7</v>
      </c>
      <c r="E372" s="55" t="s">
        <v>128</v>
      </c>
      <c r="F372" s="56">
        <v>6</v>
      </c>
      <c r="G372" s="57">
        <v>10.5</v>
      </c>
      <c r="H372" s="11">
        <f t="shared" si="140"/>
        <v>8.25</v>
      </c>
      <c r="I372" s="59"/>
      <c r="J372" s="55"/>
      <c r="K372" s="60"/>
      <c r="L372" s="60"/>
      <c r="M372" s="60"/>
      <c r="N372" s="60"/>
      <c r="O372" s="61"/>
      <c r="P372" s="38"/>
      <c r="Q372" s="38"/>
      <c r="R372" s="38"/>
      <c r="S372" s="62"/>
      <c r="T372" s="12"/>
      <c r="U372" s="22"/>
      <c r="V372" s="12"/>
      <c r="W372" s="23"/>
      <c r="X372" s="65"/>
      <c r="Y372" s="66"/>
      <c r="Z372" s="67"/>
      <c r="AA372" s="55"/>
      <c r="AB372" s="58"/>
      <c r="AC372" s="68"/>
      <c r="AD372" s="69"/>
      <c r="AE372" s="22"/>
      <c r="AF372" s="12"/>
      <c r="AG372" s="12"/>
      <c r="AH372" s="48"/>
      <c r="AI372" s="27"/>
    </row>
    <row r="373" spans="1:35" s="54" customFormat="1" ht="12.75" customHeight="1">
      <c r="A373" s="89">
        <f>H373/100+318.185</f>
        <v>318.5525</v>
      </c>
      <c r="B373" s="90" t="s">
        <v>49</v>
      </c>
      <c r="C373" s="58" t="s">
        <v>129</v>
      </c>
      <c r="D373" s="58">
        <v>7</v>
      </c>
      <c r="E373" s="55" t="s">
        <v>121</v>
      </c>
      <c r="F373" s="56">
        <v>36</v>
      </c>
      <c r="G373" s="57">
        <v>37.5</v>
      </c>
      <c r="H373" s="11">
        <f t="shared" si="140"/>
        <v>36.75</v>
      </c>
      <c r="I373" s="59"/>
      <c r="J373" s="55"/>
      <c r="K373" s="60"/>
      <c r="L373" s="60"/>
      <c r="M373" s="60"/>
      <c r="N373" s="60"/>
      <c r="O373" s="61"/>
      <c r="P373" s="38"/>
      <c r="Q373" s="38"/>
      <c r="R373" s="38"/>
      <c r="S373" s="62"/>
      <c r="T373" s="12"/>
      <c r="U373" s="22"/>
      <c r="V373" s="12"/>
      <c r="W373" s="23"/>
      <c r="X373" s="65"/>
      <c r="Y373" s="66"/>
      <c r="Z373" s="67"/>
      <c r="AA373" s="55"/>
      <c r="AB373" s="58"/>
      <c r="AC373" s="68"/>
      <c r="AD373" s="69"/>
      <c r="AE373" s="22"/>
      <c r="AF373" s="12"/>
      <c r="AG373" s="12"/>
      <c r="AH373" s="48"/>
      <c r="AI373" s="27"/>
    </row>
    <row r="374" spans="1:35" s="54" customFormat="1" ht="12.75" customHeight="1">
      <c r="A374" s="89">
        <f>H374/100+318.185</f>
        <v>318.555</v>
      </c>
      <c r="B374" s="90" t="s">
        <v>49</v>
      </c>
      <c r="C374" s="58" t="s">
        <v>129</v>
      </c>
      <c r="D374" s="58">
        <v>7</v>
      </c>
      <c r="E374" s="55" t="s">
        <v>127</v>
      </c>
      <c r="F374" s="56">
        <v>33</v>
      </c>
      <c r="G374" s="57">
        <v>41</v>
      </c>
      <c r="H374" s="11">
        <f t="shared" si="140"/>
        <v>37</v>
      </c>
      <c r="I374" s="59"/>
      <c r="J374" s="55"/>
      <c r="K374" s="60"/>
      <c r="L374" s="60"/>
      <c r="M374" s="60"/>
      <c r="N374" s="60"/>
      <c r="O374" s="61"/>
      <c r="P374" s="38"/>
      <c r="Q374" s="38"/>
      <c r="R374" s="38"/>
      <c r="S374" s="62"/>
      <c r="T374" s="12"/>
      <c r="U374" s="22"/>
      <c r="V374" s="12"/>
      <c r="W374" s="23"/>
      <c r="X374" s="65"/>
      <c r="Y374" s="66"/>
      <c r="Z374" s="67"/>
      <c r="AA374" s="55"/>
      <c r="AB374" s="58"/>
      <c r="AC374" s="68"/>
      <c r="AD374" s="69"/>
      <c r="AE374" s="22"/>
      <c r="AF374" s="12"/>
      <c r="AG374" s="12"/>
      <c r="AH374" s="48"/>
      <c r="AI374" s="27"/>
    </row>
    <row r="375" spans="1:35" s="54" customFormat="1" ht="12.75" customHeight="1">
      <c r="A375" s="89">
        <f>H375/100+319.595</f>
        <v>319.855</v>
      </c>
      <c r="B375" s="90" t="s">
        <v>49</v>
      </c>
      <c r="C375" s="58" t="s">
        <v>129</v>
      </c>
      <c r="D375" s="58">
        <v>8</v>
      </c>
      <c r="E375" s="55" t="s">
        <v>121</v>
      </c>
      <c r="F375" s="56">
        <v>25.5</v>
      </c>
      <c r="G375" s="57">
        <v>26.5</v>
      </c>
      <c r="H375" s="11">
        <f t="shared" si="140"/>
        <v>26</v>
      </c>
      <c r="I375" s="59"/>
      <c r="J375" s="55"/>
      <c r="K375" s="60"/>
      <c r="L375" s="60"/>
      <c r="M375" s="60"/>
      <c r="N375" s="60"/>
      <c r="O375" s="61"/>
      <c r="P375" s="38"/>
      <c r="Q375" s="38"/>
      <c r="R375" s="38"/>
      <c r="S375" s="62"/>
      <c r="T375" s="12"/>
      <c r="U375" s="22"/>
      <c r="V375" s="12"/>
      <c r="W375" s="23"/>
      <c r="X375" s="65"/>
      <c r="Y375" s="66"/>
      <c r="Z375" s="67"/>
      <c r="AA375" s="55"/>
      <c r="AB375" s="58"/>
      <c r="AC375" s="68"/>
      <c r="AD375" s="69"/>
      <c r="AE375" s="22"/>
      <c r="AF375" s="12"/>
      <c r="AG375" s="12"/>
      <c r="AH375" s="48"/>
      <c r="AI375" s="27"/>
    </row>
    <row r="376" spans="1:35" s="54" customFormat="1" ht="12.75" customHeight="1">
      <c r="A376" s="89">
        <f>H376/100+322.673</f>
        <v>322.703</v>
      </c>
      <c r="B376" s="90" t="s">
        <v>49</v>
      </c>
      <c r="C376" s="58" t="s">
        <v>119</v>
      </c>
      <c r="D376" s="58">
        <v>3</v>
      </c>
      <c r="E376" s="55" t="s">
        <v>44</v>
      </c>
      <c r="F376" s="56">
        <v>2</v>
      </c>
      <c r="G376" s="57">
        <v>4</v>
      </c>
      <c r="H376" s="1">
        <f t="shared" si="140"/>
        <v>3</v>
      </c>
      <c r="I376" s="59"/>
      <c r="J376" s="55">
        <v>270</v>
      </c>
      <c r="K376" s="60">
        <v>7</v>
      </c>
      <c r="L376" s="60">
        <v>0</v>
      </c>
      <c r="M376" s="60">
        <v>13</v>
      </c>
      <c r="N376" s="60"/>
      <c r="O376" s="61"/>
      <c r="P376" s="38">
        <f>COS(K376*PI()/180)*SIN(J376*PI()/180)*(SIN((M376)*PI()/180))-(COS((M376)*PI()/180)*SIN(L376*PI()/180))*(SIN(K376*PI()/180))</f>
        <v>-0.2232743032966611</v>
      </c>
      <c r="Q376" s="38">
        <f>(SIN(K376*PI()/180))*(COS((M376)*PI()/180)*COS(L376*PI()/180))-(SIN((M376)*PI()/180))*(COS(K376*PI()/180)*COS(J376*PI()/180))</f>
        <v>0.11874584002900768</v>
      </c>
      <c r="R376" s="38">
        <f>(COS(K376*PI()/180)*COS(J376*PI()/180))*(COS((M376)*PI()/180)*SIN(L376*PI()/180))-(COS(K376*PI()/180)*SIN(J376*PI()/180))*(COS((M376)*PI()/180)*COS(L376*PI()/180))</f>
        <v>0.9671072580770909</v>
      </c>
      <c r="S376" s="62">
        <f>IF(P376=0,IF(Q376&gt;=0,90,270),IF(P376&gt;0,IF(Q376&gt;=0,ATAN(Q376/P376)*180/PI(),ATAN(Q376/P376)*180/PI()+360),ATAN(Q376/P376)*180/PI()+180))</f>
        <v>151.99424124333683</v>
      </c>
      <c r="T376" s="12">
        <f>ASIN(R376/SQRT(P376^2+Q376^2+R376^2))*180/PI()</f>
        <v>75.34593495402088</v>
      </c>
      <c r="U376" s="22">
        <f>IF(R376&lt;0,S376,IF(S376+180&gt;=360,S376-180,S376+180))</f>
        <v>331.99424124333683</v>
      </c>
      <c r="V376" s="12">
        <f>IF(U376-90&lt;0,U376+270,U376-90)</f>
        <v>241.99424124333683</v>
      </c>
      <c r="W376" s="23">
        <f>IF(R376&lt;0,90+T376,90-T376)</f>
        <v>14.654065045979124</v>
      </c>
      <c r="X376" s="65"/>
      <c r="Y376" s="66"/>
      <c r="Z376" s="67"/>
      <c r="AA376" s="55">
        <v>1</v>
      </c>
      <c r="AB376" s="58">
        <v>8</v>
      </c>
      <c r="AC376" s="68"/>
      <c r="AD376" s="69"/>
      <c r="AE376" s="22"/>
      <c r="AF376" s="12"/>
      <c r="AG376" s="12"/>
      <c r="AH376" s="48"/>
      <c r="AI376" s="27"/>
    </row>
    <row r="377" spans="1:35" s="54" customFormat="1" ht="12.75" customHeight="1">
      <c r="A377" s="89">
        <f>H377/100+322.673</f>
        <v>323.578</v>
      </c>
      <c r="B377" s="90" t="s">
        <v>49</v>
      </c>
      <c r="C377" s="58" t="s">
        <v>119</v>
      </c>
      <c r="D377" s="58">
        <v>3</v>
      </c>
      <c r="E377" s="55" t="s">
        <v>44</v>
      </c>
      <c r="F377" s="56">
        <v>90</v>
      </c>
      <c r="G377" s="57">
        <v>91</v>
      </c>
      <c r="H377" s="1">
        <f t="shared" si="140"/>
        <v>90.5</v>
      </c>
      <c r="I377" s="59"/>
      <c r="J377" s="55">
        <v>90</v>
      </c>
      <c r="K377" s="60">
        <v>3</v>
      </c>
      <c r="L377" s="60">
        <v>0</v>
      </c>
      <c r="M377" s="60">
        <v>13</v>
      </c>
      <c r="N377" s="60"/>
      <c r="O377" s="61"/>
      <c r="P377" s="38">
        <f>COS(K377*PI()/180)*SIN(J377*PI()/180)*(SIN((M377)*PI()/180))-(COS((M377)*PI()/180)*SIN(L377*PI()/180))*(SIN(K377*PI()/180))</f>
        <v>0.22464276674196476</v>
      </c>
      <c r="Q377" s="38">
        <f>(SIN(K377*PI()/180))*(COS((M377)*PI()/180)*COS(L377*PI()/180))-(SIN((M377)*PI()/180))*(COS(K377*PI()/180)*COS(J377*PI()/180))</f>
        <v>0.0509945890750344</v>
      </c>
      <c r="R377" s="38">
        <f>(COS(K377*PI()/180)*COS(J377*PI()/180))*(COS((M377)*PI()/180)*SIN(L377*PI()/180))-(COS(K377*PI()/180)*SIN(J377*PI()/180))*(COS((M377)*PI()/180)*COS(L377*PI()/180))</f>
        <v>-0.9730347244752634</v>
      </c>
      <c r="S377" s="62">
        <f>IF(P377=0,IF(Q377&gt;=0,90,270),IF(P377&gt;0,IF(Q377&gt;=0,ATAN(Q377/P377)*180/PI(),ATAN(Q377/P377)*180/PI()+360),ATAN(Q377/P377)*180/PI()+180))</f>
        <v>12.789571744694546</v>
      </c>
      <c r="T377" s="12">
        <f>ASIN(R377/SQRT(P377^2+Q377^2+R377^2))*180/PI()</f>
        <v>-76.68090871110479</v>
      </c>
      <c r="U377" s="22">
        <f>IF(R377&lt;0,S377,IF(S377+180&gt;=360,S377-180,S377+180))</f>
        <v>12.789571744694546</v>
      </c>
      <c r="V377" s="12">
        <f>IF(U377-90&lt;0,U377+270,U377-90)</f>
        <v>282.78957174469457</v>
      </c>
      <c r="W377" s="23">
        <f>IF(R377&lt;0,90+T377,90-T377)</f>
        <v>13.319091288895208</v>
      </c>
      <c r="X377" s="65"/>
      <c r="Y377" s="66"/>
      <c r="Z377" s="67"/>
      <c r="AA377" s="55">
        <v>86</v>
      </c>
      <c r="AB377" s="58">
        <v>92</v>
      </c>
      <c r="AC377" s="68"/>
      <c r="AD377" s="69"/>
      <c r="AE377" s="22"/>
      <c r="AF377" s="12"/>
      <c r="AG377" s="12"/>
      <c r="AH377" s="48"/>
      <c r="AI377" s="27"/>
    </row>
    <row r="378" spans="1:35" s="54" customFormat="1" ht="12.75" customHeight="1">
      <c r="A378" s="89">
        <f>H378/100+324.402</f>
        <v>324.707</v>
      </c>
      <c r="B378" s="90" t="s">
        <v>49</v>
      </c>
      <c r="C378" s="58" t="s">
        <v>119</v>
      </c>
      <c r="D378" s="58">
        <v>5</v>
      </c>
      <c r="E378" s="55" t="s">
        <v>44</v>
      </c>
      <c r="F378" s="56">
        <v>30</v>
      </c>
      <c r="G378" s="57">
        <v>31</v>
      </c>
      <c r="H378" s="1">
        <f t="shared" si="140"/>
        <v>30.5</v>
      </c>
      <c r="I378" s="59"/>
      <c r="J378" s="55">
        <v>90</v>
      </c>
      <c r="K378" s="60">
        <v>9</v>
      </c>
      <c r="L378" s="60">
        <v>0</v>
      </c>
      <c r="M378" s="60">
        <v>22</v>
      </c>
      <c r="N378" s="60"/>
      <c r="O378" s="61"/>
      <c r="P378" s="38">
        <f>COS(K378*PI()/180)*SIN(J378*PI()/180)*(SIN((M378)*PI()/180))-(COS((M378)*PI()/180)*SIN(L378*PI()/180))*(SIN(K378*PI()/180))</f>
        <v>0.3699945646269596</v>
      </c>
      <c r="Q378" s="38">
        <f>(SIN(K378*PI()/180))*(COS((M378)*PI()/180)*COS(L378*PI()/180))-(SIN((M378)*PI()/180))*(COS(K378*PI()/180)*COS(J378*PI()/180))</f>
        <v>0.1450435102830946</v>
      </c>
      <c r="R378" s="38">
        <f>(COS(K378*PI()/180)*COS(J378*PI()/180))*(COS((M378)*PI()/180)*SIN(L378*PI()/180))-(COS(K378*PI()/180)*SIN(J378*PI()/180))*(COS((M378)*PI()/180)*COS(L378*PI()/180))</f>
        <v>-0.9157686827436738</v>
      </c>
      <c r="S378" s="62">
        <f>IF(P378=0,IF(Q378&gt;=0,90,270),IF(P378&gt;0,IF(Q378&gt;=0,ATAN(Q378/P378)*180/PI(),ATAN(Q378/P378)*180/PI()+360),ATAN(Q378/P378)*180/PI()+180))</f>
        <v>21.405936607960175</v>
      </c>
      <c r="T378" s="12">
        <f>ASIN(R378/SQRT(P378^2+Q378^2+R378^2))*180/PI()</f>
        <v>-66.54099950669796</v>
      </c>
      <c r="U378" s="22">
        <f>IF(R378&lt;0,S378,IF(S378+180&gt;=360,S378-180,S378+180))</f>
        <v>21.405936607960175</v>
      </c>
      <c r="V378" s="12">
        <f>IF(U378-90&lt;0,U378+270,U378-90)</f>
        <v>291.4059366079602</v>
      </c>
      <c r="W378" s="23">
        <f>IF(R378&lt;0,90+T378,90-T378)</f>
        <v>23.459000493302042</v>
      </c>
      <c r="X378" s="65"/>
      <c r="Y378" s="66"/>
      <c r="Z378" s="67"/>
      <c r="AA378" s="55"/>
      <c r="AB378" s="58"/>
      <c r="AC378" s="68"/>
      <c r="AD378" s="69"/>
      <c r="AE378" s="22"/>
      <c r="AF378" s="12"/>
      <c r="AG378" s="12"/>
      <c r="AH378" s="48"/>
      <c r="AI378" s="27"/>
    </row>
    <row r="379" spans="1:35" s="54" customFormat="1" ht="12.75" customHeight="1">
      <c r="A379" s="89">
        <f>H379/100+330.633</f>
        <v>331.28799999999995</v>
      </c>
      <c r="B379" s="90" t="s">
        <v>49</v>
      </c>
      <c r="C379" s="58" t="s">
        <v>131</v>
      </c>
      <c r="D379" s="58">
        <v>2</v>
      </c>
      <c r="E379" s="55" t="s">
        <v>123</v>
      </c>
      <c r="F379" s="56">
        <v>65</v>
      </c>
      <c r="G379" s="57">
        <v>66</v>
      </c>
      <c r="H379" s="1">
        <f t="shared" si="140"/>
        <v>65.5</v>
      </c>
      <c r="I379" s="59"/>
      <c r="J379" s="55"/>
      <c r="K379" s="60"/>
      <c r="L379" s="60"/>
      <c r="M379" s="60"/>
      <c r="N379" s="60"/>
      <c r="O379" s="61"/>
      <c r="P379" s="38"/>
      <c r="Q379" s="38"/>
      <c r="R379" s="38"/>
      <c r="S379" s="62"/>
      <c r="T379" s="12"/>
      <c r="U379" s="22"/>
      <c r="V379" s="12"/>
      <c r="W379" s="23"/>
      <c r="X379" s="65"/>
      <c r="Y379" s="66"/>
      <c r="Z379" s="67"/>
      <c r="AA379" s="55"/>
      <c r="AB379" s="58"/>
      <c r="AC379" s="68"/>
      <c r="AD379" s="69"/>
      <c r="AE379" s="22"/>
      <c r="AF379" s="12"/>
      <c r="AG379" s="12"/>
      <c r="AH379" s="48"/>
      <c r="AI379" s="27"/>
    </row>
    <row r="380" spans="1:35" s="54" customFormat="1" ht="12.75" customHeight="1">
      <c r="A380" s="89">
        <f>H380/100+334.5</f>
        <v>334.995</v>
      </c>
      <c r="B380" s="90" t="s">
        <v>49</v>
      </c>
      <c r="C380" s="58" t="s">
        <v>132</v>
      </c>
      <c r="D380" s="58">
        <v>1</v>
      </c>
      <c r="E380" s="55" t="s">
        <v>149</v>
      </c>
      <c r="F380" s="56">
        <v>49</v>
      </c>
      <c r="G380" s="57">
        <v>50</v>
      </c>
      <c r="H380" s="1">
        <f t="shared" si="140"/>
        <v>49.5</v>
      </c>
      <c r="I380" s="59"/>
      <c r="J380" s="55">
        <v>270</v>
      </c>
      <c r="K380" s="60">
        <v>12</v>
      </c>
      <c r="L380" s="60">
        <v>0</v>
      </c>
      <c r="M380" s="60">
        <v>6</v>
      </c>
      <c r="N380" s="60"/>
      <c r="O380" s="61"/>
      <c r="P380" s="38">
        <f>COS(K380*PI()/180)*SIN(J380*PI()/180)*(SIN((M380)*PI()/180))-(COS((M380)*PI()/180)*SIN(L380*PI()/180))*(SIN(K380*PI()/180))</f>
        <v>-0.10224426555364696</v>
      </c>
      <c r="Q380" s="38">
        <f>(SIN(K380*PI()/180))*(COS((M380)*PI()/180)*COS(L380*PI()/180))-(SIN((M380)*PI()/180))*(COS(K380*PI()/180)*COS(J380*PI()/180))</f>
        <v>0.20677272882130043</v>
      </c>
      <c r="R380" s="38">
        <f>(COS(K380*PI()/180)*COS(J380*PI()/180))*(COS((M380)*PI()/180)*SIN(L380*PI()/180))-(COS(K380*PI()/180)*SIN(J380*PI()/180))*(COS((M380)*PI()/180)*COS(L380*PI()/180))</f>
        <v>0.9727892058317135</v>
      </c>
      <c r="S380" s="62">
        <f>IF(P380=0,IF(Q380&gt;=0,90,270),IF(P380&gt;0,IF(Q380&gt;=0,ATAN(Q380/P380)*180/PI(),ATAN(Q380/P380)*180/PI()+360),ATAN(Q380/P380)*180/PI()+180))</f>
        <v>116.31131592967515</v>
      </c>
      <c r="T380" s="12">
        <f>ASIN(R380/SQRT(P380^2+Q380^2+R380^2))*180/PI()</f>
        <v>76.66024474081817</v>
      </c>
      <c r="U380" s="22">
        <f>IF(R380&lt;0,S380,IF(S380+180&gt;=360,S380-180,S380+180))</f>
        <v>296.3113159296752</v>
      </c>
      <c r="V380" s="12">
        <f>IF(U380-90&lt;0,U380+270,U380-90)</f>
        <v>206.31131592967517</v>
      </c>
      <c r="W380" s="23">
        <f>IF(R380&lt;0,90+T380,90-T380)</f>
        <v>13.339755259181828</v>
      </c>
      <c r="X380" s="65"/>
      <c r="Y380" s="66"/>
      <c r="Z380" s="67"/>
      <c r="AA380" s="55"/>
      <c r="AB380" s="58"/>
      <c r="AC380" s="68"/>
      <c r="AD380" s="69"/>
      <c r="AE380" s="22"/>
      <c r="AF380" s="12"/>
      <c r="AG380" s="12"/>
      <c r="AH380" s="48"/>
      <c r="AI380" s="27"/>
    </row>
    <row r="381" spans="1:35" s="54" customFormat="1" ht="12.75" customHeight="1">
      <c r="A381" s="89">
        <f>H381/100+335.685</f>
        <v>336.31</v>
      </c>
      <c r="B381" s="90" t="s">
        <v>49</v>
      </c>
      <c r="C381" s="58" t="s">
        <v>132</v>
      </c>
      <c r="D381" s="58">
        <v>2</v>
      </c>
      <c r="E381" s="55" t="s">
        <v>121</v>
      </c>
      <c r="F381" s="56">
        <v>62</v>
      </c>
      <c r="G381" s="57">
        <v>63</v>
      </c>
      <c r="H381" s="1">
        <f t="shared" si="140"/>
        <v>62.5</v>
      </c>
      <c r="I381" s="59"/>
      <c r="J381" s="55">
        <v>90</v>
      </c>
      <c r="K381" s="60">
        <v>0</v>
      </c>
      <c r="L381" s="60">
        <v>180</v>
      </c>
      <c r="M381" s="60">
        <v>13</v>
      </c>
      <c r="N381" s="60"/>
      <c r="O381" s="61"/>
      <c r="P381" s="38">
        <f>COS(K381*PI()/180)*SIN(J381*PI()/180)*(SIN((M381)*PI()/180))-(COS((M381)*PI()/180)*SIN(L381*PI()/180))*(SIN(K381*PI()/180))</f>
        <v>0.224951054343865</v>
      </c>
      <c r="Q381" s="38">
        <f>(SIN(K381*PI()/180))*(COS((M381)*PI()/180)*COS(L381*PI()/180))-(SIN((M381)*PI()/180))*(COS(K381*PI()/180)*COS(J381*PI()/180))</f>
        <v>-1.3779921832972561E-17</v>
      </c>
      <c r="R381" s="38">
        <f>(COS(K381*PI()/180)*COS(J381*PI()/180))*(COS((M381)*PI()/180)*SIN(L381*PI()/180))-(COS(K381*PI()/180)*SIN(J381*PI()/180))*(COS((M381)*PI()/180)*COS(L381*PI()/180))</f>
        <v>0.9743700647852352</v>
      </c>
      <c r="S381" s="62">
        <f>IF(P381=0,IF(Q381&gt;=0,90,270),IF(P381&gt;0,IF(Q381&gt;=0,ATAN(Q381/P381)*180/PI(),ATAN(Q381/P381)*180/PI()+360),ATAN(Q381/P381)*180/PI()+180))</f>
        <v>360</v>
      </c>
      <c r="T381" s="12">
        <f>ASIN(R381/SQRT(P381^2+Q381^2+R381^2))*180/PI()</f>
        <v>77.00000000000001</v>
      </c>
      <c r="U381" s="22">
        <f>IF(R381&lt;0,S381,IF(S381+180&gt;=360,S381-180,S381+180))</f>
        <v>180</v>
      </c>
      <c r="V381" s="12">
        <f>IF(U381-90&lt;0,U381+270,U381-90)</f>
        <v>90</v>
      </c>
      <c r="W381" s="23">
        <f>IF(R381&lt;0,90+T381,90-T381)</f>
        <v>12.999999999999986</v>
      </c>
      <c r="X381" s="65"/>
      <c r="Y381" s="66"/>
      <c r="Z381" s="67"/>
      <c r="AA381" s="55">
        <v>62</v>
      </c>
      <c r="AB381" s="58">
        <v>66</v>
      </c>
      <c r="AC381" s="68">
        <v>-130.9</v>
      </c>
      <c r="AD381" s="69">
        <v>-45.7</v>
      </c>
      <c r="AE381" s="22">
        <f>IF(AD381&gt;=0,IF(U381&gt;=AC381,U381-AC381,U381-AC381+360),IF((U381-AC381-180)&lt;0,IF(U381-AC381+180&lt;0,U381-AC381+540,U381-AC381+180),U381-AC381-180))</f>
        <v>130.89999999999998</v>
      </c>
      <c r="AF381" s="12">
        <f>IF(AE381-90&lt;0,AE381+270,AE381-90)</f>
        <v>40.89999999999998</v>
      </c>
      <c r="AG381" s="12">
        <f>W381</f>
        <v>12.999999999999986</v>
      </c>
      <c r="AH381" s="48"/>
      <c r="AI381" s="27"/>
    </row>
    <row r="382" spans="1:35" s="54" customFormat="1" ht="12.75" customHeight="1">
      <c r="A382" s="89">
        <f>H382/100+336.866</f>
        <v>337.131</v>
      </c>
      <c r="B382" s="90" t="s">
        <v>49</v>
      </c>
      <c r="C382" s="58" t="s">
        <v>132</v>
      </c>
      <c r="D382" s="58">
        <v>3</v>
      </c>
      <c r="E382" s="55" t="s">
        <v>121</v>
      </c>
      <c r="F382" s="56">
        <v>26</v>
      </c>
      <c r="G382" s="57">
        <v>27</v>
      </c>
      <c r="H382" s="1">
        <f t="shared" si="140"/>
        <v>26.5</v>
      </c>
      <c r="I382" s="59"/>
      <c r="J382" s="55"/>
      <c r="K382" s="60"/>
      <c r="L382" s="60"/>
      <c r="M382" s="60"/>
      <c r="N382" s="60"/>
      <c r="O382" s="61"/>
      <c r="P382" s="38"/>
      <c r="Q382" s="38"/>
      <c r="R382" s="38"/>
      <c r="S382" s="62"/>
      <c r="T382" s="12"/>
      <c r="U382" s="22"/>
      <c r="V382" s="12"/>
      <c r="W382" s="23"/>
      <c r="X382" s="65"/>
      <c r="Y382" s="66"/>
      <c r="Z382" s="67"/>
      <c r="AA382" s="55"/>
      <c r="AB382" s="58"/>
      <c r="AC382" s="68"/>
      <c r="AD382" s="69"/>
      <c r="AE382" s="22"/>
      <c r="AF382" s="12"/>
      <c r="AG382" s="12"/>
      <c r="AH382" s="48"/>
      <c r="AI382" s="27"/>
    </row>
    <row r="383" spans="1:35" s="54" customFormat="1" ht="12.75" customHeight="1">
      <c r="A383" s="89">
        <f aca="true" t="shared" si="149" ref="A383:A393">H383/100+338.072</f>
        <v>338.687</v>
      </c>
      <c r="B383" s="90" t="s">
        <v>49</v>
      </c>
      <c r="C383" s="58" t="s">
        <v>132</v>
      </c>
      <c r="D383" s="58">
        <v>6</v>
      </c>
      <c r="E383" s="55" t="s">
        <v>121</v>
      </c>
      <c r="F383" s="56">
        <v>61</v>
      </c>
      <c r="G383" s="57">
        <v>62</v>
      </c>
      <c r="H383" s="1">
        <f t="shared" si="140"/>
        <v>61.5</v>
      </c>
      <c r="I383" s="59"/>
      <c r="J383" s="55">
        <v>90</v>
      </c>
      <c r="K383" s="60">
        <v>8</v>
      </c>
      <c r="L383" s="60">
        <v>297</v>
      </c>
      <c r="M383" s="60">
        <v>0</v>
      </c>
      <c r="N383" s="60"/>
      <c r="O383" s="61"/>
      <c r="P383" s="38">
        <f>COS(K383*PI()/180)*SIN(J383*PI()/180)*(SIN((M383)*PI()/180))-(COS((M383)*PI()/180)*SIN(L383*PI()/180))*(SIN(K383*PI()/180))</f>
        <v>0.12400414094694472</v>
      </c>
      <c r="Q383" s="38">
        <f>(SIN(K383*PI()/180))*(COS((M383)*PI()/180)*COS(L383*PI()/180))-(SIN((M383)*PI()/180))*(COS(K383*PI()/180)*COS(J383*PI()/180))</f>
        <v>0.06318326565516248</v>
      </c>
      <c r="R383" s="38">
        <f>(COS(K383*PI()/180)*COS(J383*PI()/180))*(COS((M383)*PI()/180)*SIN(L383*PI()/180))-(COS(K383*PI()/180)*SIN(J383*PI()/180))*(COS((M383)*PI()/180)*COS(L383*PI()/180))</f>
        <v>-0.4495722954041013</v>
      </c>
      <c r="S383" s="62">
        <f>IF(P383=0,IF(Q383&gt;=0,90,270),IF(P383&gt;0,IF(Q383&gt;=0,ATAN(Q383/P383)*180/PI(),ATAN(Q383/P383)*180/PI()+360),ATAN(Q383/P383)*180/PI()+180))</f>
        <v>26.99999999999999</v>
      </c>
      <c r="T383" s="12">
        <f>ASIN(R383/SQRT(P383^2+Q383^2+R383^2))*180/PI()</f>
        <v>-72.7991593376662</v>
      </c>
      <c r="U383" s="22">
        <f>IF(R383&lt;0,S383,IF(S383+180&gt;=360,S383-180,S383+180))</f>
        <v>26.99999999999999</v>
      </c>
      <c r="V383" s="12">
        <f>IF(U383-90&lt;0,U383+270,U383-90)</f>
        <v>297</v>
      </c>
      <c r="W383" s="23">
        <f>IF(R383&lt;0,90+T383,90-T383)</f>
        <v>17.200840662333803</v>
      </c>
      <c r="X383" s="65"/>
      <c r="Y383" s="66"/>
      <c r="Z383" s="67"/>
      <c r="AA383" s="55">
        <v>59</v>
      </c>
      <c r="AB383" s="58">
        <v>68</v>
      </c>
      <c r="AC383" s="68"/>
      <c r="AD383" s="69"/>
      <c r="AE383" s="22"/>
      <c r="AF383" s="12"/>
      <c r="AG383" s="12"/>
      <c r="AH383" s="48"/>
      <c r="AI383" s="27"/>
    </row>
    <row r="384" spans="1:35" s="54" customFormat="1" ht="12.75" customHeight="1">
      <c r="A384" s="89">
        <f t="shared" si="149"/>
        <v>338.707</v>
      </c>
      <c r="B384" s="90" t="s">
        <v>49</v>
      </c>
      <c r="C384" s="58" t="s">
        <v>132</v>
      </c>
      <c r="D384" s="58">
        <v>6</v>
      </c>
      <c r="E384" s="55" t="s">
        <v>121</v>
      </c>
      <c r="F384" s="56">
        <v>63</v>
      </c>
      <c r="G384" s="57">
        <v>64</v>
      </c>
      <c r="H384" s="1">
        <f t="shared" si="140"/>
        <v>63.5</v>
      </c>
      <c r="I384" s="59"/>
      <c r="J384" s="55">
        <v>270</v>
      </c>
      <c r="K384" s="60">
        <v>1</v>
      </c>
      <c r="L384" s="60">
        <v>87</v>
      </c>
      <c r="M384" s="60">
        <v>0</v>
      </c>
      <c r="N384" s="60"/>
      <c r="O384" s="61"/>
      <c r="P384" s="38">
        <f>COS(K384*PI()/180)*SIN(J384*PI()/180)*(SIN((M384)*PI()/180))-(COS((M384)*PI()/180)*SIN(L384*PI()/180))*(SIN(K384*PI()/180))</f>
        <v>-0.017428488520812163</v>
      </c>
      <c r="Q384" s="38">
        <f>(SIN(K384*PI()/180))*(COS((M384)*PI()/180)*COS(L384*PI()/180))-(SIN((M384)*PI()/180))*(COS(K384*PI()/180)*COS(J384*PI()/180))</f>
        <v>0.0009133883796357434</v>
      </c>
      <c r="R384" s="38">
        <f>(COS(K384*PI()/180)*COS(J384*PI()/180))*(COS((M384)*PI()/180)*SIN(L384*PI()/180))-(COS(K384*PI()/180)*SIN(J384*PI()/180))*(COS((M384)*PI()/180)*COS(L384*PI()/180))</f>
        <v>0.05232798522331309</v>
      </c>
      <c r="S384" s="62">
        <f>IF(P384=0,IF(Q384&gt;=0,90,270),IF(P384&gt;0,IF(Q384&gt;=0,ATAN(Q384/P384)*180/PI(),ATAN(Q384/P384)*180/PI()+360),ATAN(Q384/P384)*180/PI()+180))</f>
        <v>177</v>
      </c>
      <c r="T384" s="12">
        <f>ASIN(R384/SQRT(P384^2+Q384^2+R384^2))*180/PI()</f>
        <v>71.55544887939654</v>
      </c>
      <c r="U384" s="22">
        <f>IF(R384&lt;0,S384,IF(S384+180&gt;=360,S384-180,S384+180))</f>
        <v>357</v>
      </c>
      <c r="V384" s="12">
        <f>IF(U384-90&lt;0,U384+270,U384-90)</f>
        <v>267</v>
      </c>
      <c r="W384" s="23">
        <f>IF(R384&lt;0,90+T384,90-T384)</f>
        <v>18.444551120603464</v>
      </c>
      <c r="X384" s="65"/>
      <c r="Y384" s="66"/>
      <c r="Z384" s="67"/>
      <c r="AA384" s="55">
        <v>59</v>
      </c>
      <c r="AB384" s="58">
        <v>68</v>
      </c>
      <c r="AC384" s="68"/>
      <c r="AD384" s="69"/>
      <c r="AE384" s="22"/>
      <c r="AF384" s="12"/>
      <c r="AG384" s="12"/>
      <c r="AH384" s="48"/>
      <c r="AI384" s="27"/>
    </row>
    <row r="385" spans="1:35" s="54" customFormat="1" ht="12.75" customHeight="1">
      <c r="A385" s="89">
        <f t="shared" si="149"/>
        <v>338.712</v>
      </c>
      <c r="B385" s="90" t="s">
        <v>49</v>
      </c>
      <c r="C385" s="58" t="s">
        <v>132</v>
      </c>
      <c r="D385" s="58">
        <v>6</v>
      </c>
      <c r="E385" s="55" t="s">
        <v>133</v>
      </c>
      <c r="F385" s="56">
        <v>60</v>
      </c>
      <c r="G385" s="57">
        <v>68</v>
      </c>
      <c r="H385" s="1">
        <f t="shared" si="140"/>
        <v>64</v>
      </c>
      <c r="I385" s="59"/>
      <c r="J385" s="55"/>
      <c r="K385" s="60"/>
      <c r="L385" s="60"/>
      <c r="M385" s="60"/>
      <c r="N385" s="60"/>
      <c r="O385" s="61"/>
      <c r="P385" s="38"/>
      <c r="Q385" s="38"/>
      <c r="R385" s="38"/>
      <c r="S385" s="62"/>
      <c r="T385" s="12"/>
      <c r="U385" s="63"/>
      <c r="V385" s="62"/>
      <c r="W385" s="64"/>
      <c r="X385" s="65"/>
      <c r="Y385" s="66"/>
      <c r="Z385" s="67"/>
      <c r="AA385" s="55"/>
      <c r="AB385" s="58"/>
      <c r="AC385" s="68"/>
      <c r="AD385" s="69"/>
      <c r="AE385" s="22"/>
      <c r="AF385" s="12"/>
      <c r="AG385" s="12"/>
      <c r="AH385" s="70"/>
      <c r="AI385" s="67"/>
    </row>
    <row r="386" spans="1:35" s="54" customFormat="1" ht="12.75" customHeight="1">
      <c r="A386" s="89">
        <f t="shared" si="149"/>
        <v>338.782</v>
      </c>
      <c r="B386" s="90" t="s">
        <v>49</v>
      </c>
      <c r="C386" s="58" t="s">
        <v>132</v>
      </c>
      <c r="D386" s="58">
        <v>6</v>
      </c>
      <c r="E386" s="55" t="s">
        <v>121</v>
      </c>
      <c r="F386" s="56">
        <v>71</v>
      </c>
      <c r="G386" s="57">
        <v>71</v>
      </c>
      <c r="H386" s="1">
        <f t="shared" si="140"/>
        <v>71</v>
      </c>
      <c r="I386" s="59"/>
      <c r="J386" s="55">
        <v>270</v>
      </c>
      <c r="K386" s="60">
        <v>11</v>
      </c>
      <c r="L386" s="60">
        <v>50</v>
      </c>
      <c r="M386" s="60">
        <v>0</v>
      </c>
      <c r="N386" s="60"/>
      <c r="O386" s="61"/>
      <c r="P386" s="38">
        <f aca="true" t="shared" si="150" ref="P386:P421">COS(K386*PI()/180)*SIN(J386*PI()/180)*(SIN((M386)*PI()/180))-(COS((M386)*PI()/180)*SIN(L386*PI()/180))*(SIN(K386*PI()/180))</f>
        <v>-0.14616817060531692</v>
      </c>
      <c r="Q386" s="38">
        <f aca="true" t="shared" si="151" ref="Q386:Q421">(SIN(K386*PI()/180))*(COS((M386)*PI()/180)*COS(L386*PI()/180))-(SIN((M386)*PI()/180))*(COS(K386*PI()/180)*COS(J386*PI()/180))</f>
        <v>0.12264965804477918</v>
      </c>
      <c r="R386" s="38">
        <f aca="true" t="shared" si="152" ref="R386:R421">(COS(K386*PI()/180)*COS(J386*PI()/180))*(COS((M386)*PI()/180)*SIN(L386*PI()/180))-(COS(K386*PI()/180)*SIN(J386*PI()/180))*(COS((M386)*PI()/180)*COS(L386*PI()/180))</f>
        <v>0.6309777908516538</v>
      </c>
      <c r="S386" s="62">
        <f aca="true" t="shared" si="153" ref="S386:S421">IF(P386=0,IF(Q386&gt;=0,90,270),IF(P386&gt;0,IF(Q386&gt;=0,ATAN(Q386/P386)*180/PI(),ATAN(Q386/P386)*180/PI()+360),ATAN(Q386/P386)*180/PI()+180))</f>
        <v>140</v>
      </c>
      <c r="T386" s="12">
        <f aca="true" t="shared" si="154" ref="T386:T421">ASIN(R386/SQRT(P386^2+Q386^2+R386^2))*180/PI()</f>
        <v>73.17457429588721</v>
      </c>
      <c r="U386" s="22">
        <f aca="true" t="shared" si="155" ref="U386:U421">IF(R386&lt;0,S386,IF(S386+180&gt;=360,S386-180,S386+180))</f>
        <v>320</v>
      </c>
      <c r="V386" s="12">
        <f aca="true" t="shared" si="156" ref="V386:V421">IF(U386-90&lt;0,U386+270,U386-90)</f>
        <v>230</v>
      </c>
      <c r="W386" s="23">
        <f aca="true" t="shared" si="157" ref="W386:W421">IF(R386&lt;0,90+T386,90-T386)</f>
        <v>16.82542570411279</v>
      </c>
      <c r="X386" s="65"/>
      <c r="Y386" s="66"/>
      <c r="Z386" s="67"/>
      <c r="AA386" s="55">
        <v>70</v>
      </c>
      <c r="AB386" s="58">
        <v>76</v>
      </c>
      <c r="AC386" s="68"/>
      <c r="AD386" s="69"/>
      <c r="AE386" s="22"/>
      <c r="AF386" s="12"/>
      <c r="AG386" s="12"/>
      <c r="AH386" s="48"/>
      <c r="AI386" s="27"/>
    </row>
    <row r="387" spans="1:35" s="54" customFormat="1" ht="12.75" customHeight="1">
      <c r="A387" s="89">
        <f t="shared" si="149"/>
        <v>338.797</v>
      </c>
      <c r="B387" s="90" t="s">
        <v>49</v>
      </c>
      <c r="C387" s="58" t="s">
        <v>132</v>
      </c>
      <c r="D387" s="58">
        <v>6</v>
      </c>
      <c r="E387" s="55" t="s">
        <v>121</v>
      </c>
      <c r="F387" s="56">
        <v>72</v>
      </c>
      <c r="G387" s="57">
        <v>73</v>
      </c>
      <c r="H387" s="1">
        <f aca="true" t="shared" si="158" ref="H387:H450">(F387+G387)/2</f>
        <v>72.5</v>
      </c>
      <c r="I387" s="59"/>
      <c r="J387" s="55">
        <v>270</v>
      </c>
      <c r="K387" s="60">
        <v>24</v>
      </c>
      <c r="L387" s="60">
        <v>45</v>
      </c>
      <c r="M387" s="60">
        <v>0</v>
      </c>
      <c r="N387" s="60"/>
      <c r="O387" s="61"/>
      <c r="P387" s="38">
        <f t="shared" si="150"/>
        <v>-0.2876062384759507</v>
      </c>
      <c r="Q387" s="38">
        <f t="shared" si="151"/>
        <v>0.28760623847595074</v>
      </c>
      <c r="R387" s="38">
        <f t="shared" si="152"/>
        <v>0.645974188021251</v>
      </c>
      <c r="S387" s="62">
        <f t="shared" si="153"/>
        <v>135</v>
      </c>
      <c r="T387" s="12">
        <f t="shared" si="154"/>
        <v>57.80349407069134</v>
      </c>
      <c r="U387" s="22">
        <f t="shared" si="155"/>
        <v>315</v>
      </c>
      <c r="V387" s="12">
        <f t="shared" si="156"/>
        <v>225</v>
      </c>
      <c r="W387" s="23">
        <f t="shared" si="157"/>
        <v>32.19650592930866</v>
      </c>
      <c r="X387" s="65"/>
      <c r="Y387" s="66"/>
      <c r="Z387" s="67"/>
      <c r="AA387" s="55">
        <v>70</v>
      </c>
      <c r="AB387" s="58">
        <v>76</v>
      </c>
      <c r="AC387" s="68"/>
      <c r="AD387" s="69"/>
      <c r="AE387" s="22"/>
      <c r="AF387" s="12"/>
      <c r="AG387" s="12"/>
      <c r="AH387" s="48"/>
      <c r="AI387" s="27"/>
    </row>
    <row r="388" spans="1:35" s="54" customFormat="1" ht="12.75" customHeight="1">
      <c r="A388" s="89">
        <f t="shared" si="149"/>
        <v>338.842</v>
      </c>
      <c r="B388" s="90" t="s">
        <v>49</v>
      </c>
      <c r="C388" s="58" t="s">
        <v>132</v>
      </c>
      <c r="D388" s="58">
        <v>6</v>
      </c>
      <c r="E388" s="55" t="s">
        <v>121</v>
      </c>
      <c r="F388" s="56">
        <v>77</v>
      </c>
      <c r="G388" s="57">
        <v>77</v>
      </c>
      <c r="H388" s="1">
        <f t="shared" si="158"/>
        <v>77</v>
      </c>
      <c r="I388" s="59"/>
      <c r="J388" s="55">
        <v>90</v>
      </c>
      <c r="K388" s="60">
        <v>10</v>
      </c>
      <c r="L388" s="60">
        <v>20</v>
      </c>
      <c r="M388" s="60">
        <v>0</v>
      </c>
      <c r="N388" s="60"/>
      <c r="O388" s="61"/>
      <c r="P388" s="38">
        <f t="shared" si="150"/>
        <v>-0.0593911746138847</v>
      </c>
      <c r="Q388" s="38">
        <f t="shared" si="151"/>
        <v>0.16317591116653482</v>
      </c>
      <c r="R388" s="38">
        <f t="shared" si="152"/>
        <v>-0.9254165783983234</v>
      </c>
      <c r="S388" s="62">
        <f t="shared" si="153"/>
        <v>110</v>
      </c>
      <c r="T388" s="12">
        <f t="shared" si="154"/>
        <v>-79.37241586166917</v>
      </c>
      <c r="U388" s="22">
        <f t="shared" si="155"/>
        <v>110</v>
      </c>
      <c r="V388" s="12">
        <f t="shared" si="156"/>
        <v>20</v>
      </c>
      <c r="W388" s="23">
        <f t="shared" si="157"/>
        <v>10.627584138330832</v>
      </c>
      <c r="X388" s="65"/>
      <c r="Y388" s="66"/>
      <c r="Z388" s="67"/>
      <c r="AA388" s="55">
        <v>77</v>
      </c>
      <c r="AB388" s="58">
        <v>84</v>
      </c>
      <c r="AC388" s="68"/>
      <c r="AD388" s="69"/>
      <c r="AE388" s="22"/>
      <c r="AF388" s="12"/>
      <c r="AG388" s="12"/>
      <c r="AH388" s="48"/>
      <c r="AI388" s="27"/>
    </row>
    <row r="389" spans="1:35" s="54" customFormat="1" ht="12.75" customHeight="1">
      <c r="A389" s="89">
        <f t="shared" si="149"/>
        <v>338.847</v>
      </c>
      <c r="B389" s="90" t="s">
        <v>49</v>
      </c>
      <c r="C389" s="58" t="s">
        <v>132</v>
      </c>
      <c r="D389" s="58">
        <v>6</v>
      </c>
      <c r="E389" s="55" t="s">
        <v>121</v>
      </c>
      <c r="F389" s="56">
        <v>77</v>
      </c>
      <c r="G389" s="57">
        <v>78</v>
      </c>
      <c r="H389" s="1">
        <f t="shared" si="158"/>
        <v>77.5</v>
      </c>
      <c r="I389" s="59"/>
      <c r="J389" s="55">
        <v>270</v>
      </c>
      <c r="K389" s="60">
        <v>1</v>
      </c>
      <c r="L389" s="60">
        <v>271</v>
      </c>
      <c r="M389" s="60">
        <v>0</v>
      </c>
      <c r="N389" s="60"/>
      <c r="O389" s="61"/>
      <c r="P389" s="38">
        <f t="shared" si="150"/>
        <v>0.017449748351250485</v>
      </c>
      <c r="Q389" s="38">
        <f t="shared" si="151"/>
        <v>0.0003045864904521283</v>
      </c>
      <c r="R389" s="38">
        <f t="shared" si="152"/>
        <v>0.017449748351250287</v>
      </c>
      <c r="S389" s="62">
        <f t="shared" si="153"/>
        <v>0.9999999999999781</v>
      </c>
      <c r="T389" s="12">
        <f t="shared" si="154"/>
        <v>44.99563645534453</v>
      </c>
      <c r="U389" s="22">
        <f t="shared" si="155"/>
        <v>180.99999999999997</v>
      </c>
      <c r="V389" s="12">
        <f t="shared" si="156"/>
        <v>90.99999999999997</v>
      </c>
      <c r="W389" s="23">
        <f t="shared" si="157"/>
        <v>45.00436354465547</v>
      </c>
      <c r="X389" s="65"/>
      <c r="Y389" s="66"/>
      <c r="Z389" s="67"/>
      <c r="AA389" s="55">
        <v>77</v>
      </c>
      <c r="AB389" s="58">
        <v>84</v>
      </c>
      <c r="AC389" s="68"/>
      <c r="AD389" s="69"/>
      <c r="AE389" s="22"/>
      <c r="AF389" s="12"/>
      <c r="AG389" s="12"/>
      <c r="AH389" s="48"/>
      <c r="AI389" s="27"/>
    </row>
    <row r="390" spans="1:35" s="54" customFormat="1" ht="12.75" customHeight="1">
      <c r="A390" s="89">
        <f t="shared" si="149"/>
        <v>338.922</v>
      </c>
      <c r="B390" s="90" t="s">
        <v>49</v>
      </c>
      <c r="C390" s="58" t="s">
        <v>132</v>
      </c>
      <c r="D390" s="58">
        <v>6</v>
      </c>
      <c r="E390" s="55" t="s">
        <v>121</v>
      </c>
      <c r="F390" s="56">
        <v>85</v>
      </c>
      <c r="G390" s="57">
        <v>85</v>
      </c>
      <c r="H390" s="1">
        <f t="shared" si="158"/>
        <v>85</v>
      </c>
      <c r="I390" s="59"/>
      <c r="J390" s="55">
        <v>90</v>
      </c>
      <c r="K390" s="60">
        <v>3</v>
      </c>
      <c r="L390" s="60">
        <v>180</v>
      </c>
      <c r="M390" s="60">
        <v>2</v>
      </c>
      <c r="N390" s="60"/>
      <c r="O390" s="61"/>
      <c r="P390" s="38">
        <f t="shared" si="150"/>
        <v>0.03485166815518732</v>
      </c>
      <c r="Q390" s="38">
        <f t="shared" si="151"/>
        <v>-0.05230407459247084</v>
      </c>
      <c r="R390" s="38">
        <f t="shared" si="152"/>
        <v>0.9980211966240684</v>
      </c>
      <c r="S390" s="62">
        <f t="shared" si="153"/>
        <v>303.67663081374843</v>
      </c>
      <c r="T390" s="12">
        <f t="shared" si="154"/>
        <v>86.39647307521291</v>
      </c>
      <c r="U390" s="22">
        <f t="shared" si="155"/>
        <v>123.67663081374843</v>
      </c>
      <c r="V390" s="12">
        <f t="shared" si="156"/>
        <v>33.67663081374843</v>
      </c>
      <c r="W390" s="23">
        <f t="shared" si="157"/>
        <v>3.60352692478709</v>
      </c>
      <c r="X390" s="65"/>
      <c r="Y390" s="66"/>
      <c r="Z390" s="67"/>
      <c r="AA390" s="55">
        <v>84</v>
      </c>
      <c r="AB390" s="58">
        <v>90</v>
      </c>
      <c r="AC390" s="68"/>
      <c r="AD390" s="69"/>
      <c r="AE390" s="22"/>
      <c r="AF390" s="12"/>
      <c r="AG390" s="12"/>
      <c r="AH390" s="48"/>
      <c r="AI390" s="27"/>
    </row>
    <row r="391" spans="1:35" s="54" customFormat="1" ht="12.75" customHeight="1">
      <c r="A391" s="89">
        <f t="shared" si="149"/>
        <v>339.022</v>
      </c>
      <c r="B391" s="90" t="s">
        <v>49</v>
      </c>
      <c r="C391" s="58" t="s">
        <v>132</v>
      </c>
      <c r="D391" s="58">
        <v>6</v>
      </c>
      <c r="E391" s="55" t="s">
        <v>121</v>
      </c>
      <c r="F391" s="56">
        <v>95</v>
      </c>
      <c r="G391" s="57">
        <v>95</v>
      </c>
      <c r="H391" s="1">
        <f t="shared" si="158"/>
        <v>95</v>
      </c>
      <c r="I391" s="59"/>
      <c r="J391" s="55">
        <v>270</v>
      </c>
      <c r="K391" s="60">
        <v>22</v>
      </c>
      <c r="L391" s="60">
        <v>18</v>
      </c>
      <c r="M391" s="60">
        <v>0</v>
      </c>
      <c r="N391" s="60"/>
      <c r="O391" s="61"/>
      <c r="P391" s="38">
        <f t="shared" si="150"/>
        <v>-0.11575980357042309</v>
      </c>
      <c r="Q391" s="38">
        <f t="shared" si="151"/>
        <v>0.3562720417153323</v>
      </c>
      <c r="R391" s="38">
        <f t="shared" si="152"/>
        <v>0.8818042466894012</v>
      </c>
      <c r="S391" s="62">
        <f t="shared" si="153"/>
        <v>108</v>
      </c>
      <c r="T391" s="12">
        <f t="shared" si="154"/>
        <v>66.98332579385855</v>
      </c>
      <c r="U391" s="63">
        <f t="shared" si="155"/>
        <v>288</v>
      </c>
      <c r="V391" s="62">
        <f t="shared" si="156"/>
        <v>198</v>
      </c>
      <c r="W391" s="64">
        <f t="shared" si="157"/>
        <v>23.016674206141445</v>
      </c>
      <c r="X391" s="65"/>
      <c r="Y391" s="66"/>
      <c r="Z391" s="67"/>
      <c r="AA391" s="55">
        <v>92</v>
      </c>
      <c r="AB391" s="58">
        <v>100</v>
      </c>
      <c r="AC391" s="68"/>
      <c r="AD391" s="69"/>
      <c r="AE391" s="22"/>
      <c r="AF391" s="12"/>
      <c r="AG391" s="12"/>
      <c r="AH391" s="48"/>
      <c r="AI391" s="27"/>
    </row>
    <row r="392" spans="1:35" s="54" customFormat="1" ht="12.75" customHeight="1">
      <c r="A392" s="89">
        <f t="shared" si="149"/>
        <v>339.047</v>
      </c>
      <c r="B392" s="90" t="s">
        <v>49</v>
      </c>
      <c r="C392" s="58" t="s">
        <v>132</v>
      </c>
      <c r="D392" s="58">
        <v>6</v>
      </c>
      <c r="E392" s="55" t="s">
        <v>121</v>
      </c>
      <c r="F392" s="56">
        <v>97</v>
      </c>
      <c r="G392" s="57">
        <v>98</v>
      </c>
      <c r="H392" s="1">
        <f t="shared" si="158"/>
        <v>97.5</v>
      </c>
      <c r="I392" s="59"/>
      <c r="J392" s="55">
        <v>270</v>
      </c>
      <c r="K392" s="60">
        <v>68</v>
      </c>
      <c r="L392" s="60">
        <v>16</v>
      </c>
      <c r="M392" s="60">
        <v>0</v>
      </c>
      <c r="N392" s="60"/>
      <c r="O392" s="61"/>
      <c r="P392" s="38">
        <f t="shared" si="150"/>
        <v>-0.2555665060290024</v>
      </c>
      <c r="Q392" s="38">
        <f t="shared" si="151"/>
        <v>0.8912663244874977</v>
      </c>
      <c r="R392" s="38">
        <f t="shared" si="152"/>
        <v>0.3600949692966558</v>
      </c>
      <c r="S392" s="62">
        <f t="shared" si="153"/>
        <v>106</v>
      </c>
      <c r="T392" s="12">
        <f t="shared" si="154"/>
        <v>21.22492210468543</v>
      </c>
      <c r="U392" s="63">
        <f t="shared" si="155"/>
        <v>286</v>
      </c>
      <c r="V392" s="62">
        <f t="shared" si="156"/>
        <v>196</v>
      </c>
      <c r="W392" s="64">
        <f t="shared" si="157"/>
        <v>68.77507789531457</v>
      </c>
      <c r="X392" s="65"/>
      <c r="Y392" s="66"/>
      <c r="Z392" s="67"/>
      <c r="AA392" s="55">
        <v>92</v>
      </c>
      <c r="AB392" s="58">
        <v>100</v>
      </c>
      <c r="AC392" s="68"/>
      <c r="AD392" s="69"/>
      <c r="AE392" s="22"/>
      <c r="AF392" s="12"/>
      <c r="AG392" s="12"/>
      <c r="AH392" s="70"/>
      <c r="AI392" s="67"/>
    </row>
    <row r="393" spans="1:35" s="54" customFormat="1" ht="12.75" customHeight="1">
      <c r="A393" s="89">
        <f t="shared" si="149"/>
        <v>339.062</v>
      </c>
      <c r="B393" s="90" t="s">
        <v>49</v>
      </c>
      <c r="C393" s="58" t="s">
        <v>132</v>
      </c>
      <c r="D393" s="58">
        <v>6</v>
      </c>
      <c r="E393" s="55" t="s">
        <v>121</v>
      </c>
      <c r="F393" s="56">
        <v>99</v>
      </c>
      <c r="G393" s="57">
        <v>99</v>
      </c>
      <c r="H393" s="1">
        <f t="shared" si="158"/>
        <v>99</v>
      </c>
      <c r="I393" s="59"/>
      <c r="J393" s="55">
        <v>270</v>
      </c>
      <c r="K393" s="60">
        <v>24</v>
      </c>
      <c r="L393" s="60">
        <v>17</v>
      </c>
      <c r="M393" s="60">
        <v>0</v>
      </c>
      <c r="N393" s="60"/>
      <c r="O393" s="61"/>
      <c r="P393" s="38">
        <f t="shared" si="150"/>
        <v>-0.11891828570927501</v>
      </c>
      <c r="Q393" s="38">
        <f t="shared" si="151"/>
        <v>0.3889641861978273</v>
      </c>
      <c r="R393" s="38">
        <f t="shared" si="152"/>
        <v>0.873627865932047</v>
      </c>
      <c r="S393" s="62">
        <f t="shared" si="153"/>
        <v>107</v>
      </c>
      <c r="T393" s="12">
        <f t="shared" si="154"/>
        <v>65.034633193199</v>
      </c>
      <c r="U393" s="63">
        <f t="shared" si="155"/>
        <v>287</v>
      </c>
      <c r="V393" s="62">
        <f t="shared" si="156"/>
        <v>197</v>
      </c>
      <c r="W393" s="64">
        <f t="shared" si="157"/>
        <v>24.965366806801</v>
      </c>
      <c r="X393" s="65"/>
      <c r="Y393" s="66"/>
      <c r="Z393" s="67"/>
      <c r="AA393" s="55">
        <v>92</v>
      </c>
      <c r="AB393" s="58">
        <v>100</v>
      </c>
      <c r="AC393" s="68"/>
      <c r="AD393" s="69"/>
      <c r="AE393" s="22"/>
      <c r="AF393" s="12"/>
      <c r="AG393" s="12"/>
      <c r="AH393" s="70"/>
      <c r="AI393" s="67"/>
    </row>
    <row r="394" spans="1:35" s="54" customFormat="1" ht="12.75" customHeight="1">
      <c r="A394" s="89">
        <f>H394/100+342.345</f>
        <v>342.71750000000003</v>
      </c>
      <c r="B394" s="90" t="s">
        <v>49</v>
      </c>
      <c r="C394" s="58" t="s">
        <v>137</v>
      </c>
      <c r="D394" s="58">
        <v>6</v>
      </c>
      <c r="E394" s="55" t="s">
        <v>121</v>
      </c>
      <c r="F394" s="56">
        <v>37</v>
      </c>
      <c r="G394" s="57">
        <v>37.5</v>
      </c>
      <c r="H394" s="1">
        <f t="shared" si="158"/>
        <v>37.25</v>
      </c>
      <c r="I394" s="59"/>
      <c r="J394" s="55">
        <v>270</v>
      </c>
      <c r="K394" s="60">
        <v>5</v>
      </c>
      <c r="L394" s="60">
        <v>0</v>
      </c>
      <c r="M394" s="60">
        <v>4</v>
      </c>
      <c r="N394" s="60"/>
      <c r="O394" s="61"/>
      <c r="P394" s="38">
        <f t="shared" si="150"/>
        <v>-0.06949102930147368</v>
      </c>
      <c r="Q394" s="38">
        <f t="shared" si="151"/>
        <v>0.0869434357387572</v>
      </c>
      <c r="R394" s="38">
        <f t="shared" si="152"/>
        <v>0.9937680178757644</v>
      </c>
      <c r="S394" s="62">
        <f t="shared" si="153"/>
        <v>128.63419479866783</v>
      </c>
      <c r="T394" s="12">
        <f t="shared" si="154"/>
        <v>83.60949830070747</v>
      </c>
      <c r="U394" s="63">
        <f t="shared" si="155"/>
        <v>308.63419479866786</v>
      </c>
      <c r="V394" s="62">
        <f t="shared" si="156"/>
        <v>218.63419479866786</v>
      </c>
      <c r="W394" s="64">
        <f t="shared" si="157"/>
        <v>6.390501699292528</v>
      </c>
      <c r="X394" s="65"/>
      <c r="Y394" s="66"/>
      <c r="Z394" s="67"/>
      <c r="AA394" s="55"/>
      <c r="AB394" s="58"/>
      <c r="AC394" s="68"/>
      <c r="AD394" s="69"/>
      <c r="AE394" s="22"/>
      <c r="AF394" s="12"/>
      <c r="AG394" s="12"/>
      <c r="AH394" s="70"/>
      <c r="AI394" s="67"/>
    </row>
    <row r="395" spans="1:35" s="54" customFormat="1" ht="12.75" customHeight="1">
      <c r="A395" s="89">
        <f>H395/100+342.454</f>
        <v>343.204</v>
      </c>
      <c r="B395" s="90" t="s">
        <v>49</v>
      </c>
      <c r="C395" s="58" t="s">
        <v>134</v>
      </c>
      <c r="D395" s="58">
        <v>4</v>
      </c>
      <c r="E395" s="55" t="s">
        <v>121</v>
      </c>
      <c r="F395" s="56">
        <v>75</v>
      </c>
      <c r="G395" s="57">
        <v>75</v>
      </c>
      <c r="H395" s="1">
        <f t="shared" si="158"/>
        <v>75</v>
      </c>
      <c r="I395" s="59"/>
      <c r="J395" s="55">
        <v>90</v>
      </c>
      <c r="K395" s="60">
        <v>1</v>
      </c>
      <c r="L395" s="60">
        <v>180</v>
      </c>
      <c r="M395" s="60">
        <v>9</v>
      </c>
      <c r="N395" s="60"/>
      <c r="O395" s="61"/>
      <c r="P395" s="38">
        <f t="shared" si="150"/>
        <v>0.1564106393134979</v>
      </c>
      <c r="Q395" s="38">
        <f t="shared" si="151"/>
        <v>-0.017237538353432464</v>
      </c>
      <c r="R395" s="38">
        <f t="shared" si="152"/>
        <v>0.9875379108768892</v>
      </c>
      <c r="S395" s="62">
        <f t="shared" si="153"/>
        <v>353.7109865885377</v>
      </c>
      <c r="T395" s="12">
        <f t="shared" si="154"/>
        <v>80.9464097574264</v>
      </c>
      <c r="U395" s="63">
        <f t="shared" si="155"/>
        <v>173.7109865885377</v>
      </c>
      <c r="V395" s="62">
        <f t="shared" si="156"/>
        <v>83.71098658853771</v>
      </c>
      <c r="W395" s="64">
        <f t="shared" si="157"/>
        <v>9.053590242573605</v>
      </c>
      <c r="X395" s="65"/>
      <c r="Y395" s="66"/>
      <c r="Z395" s="67"/>
      <c r="AA395" s="55">
        <v>71</v>
      </c>
      <c r="AB395" s="58">
        <v>79</v>
      </c>
      <c r="AC395" s="68"/>
      <c r="AD395" s="69"/>
      <c r="AE395" s="22"/>
      <c r="AF395" s="12"/>
      <c r="AG395" s="12"/>
      <c r="AH395" s="70"/>
      <c r="AI395" s="67"/>
    </row>
    <row r="396" spans="1:35" s="54" customFormat="1" ht="12.75" customHeight="1">
      <c r="A396" s="89">
        <f>H396/100+344.101</f>
        <v>344.326</v>
      </c>
      <c r="B396" s="90" t="s">
        <v>49</v>
      </c>
      <c r="C396" s="58" t="s">
        <v>134</v>
      </c>
      <c r="D396" s="58" t="s">
        <v>135</v>
      </c>
      <c r="E396" s="55" t="s">
        <v>121</v>
      </c>
      <c r="F396" s="56">
        <v>22</v>
      </c>
      <c r="G396" s="57">
        <v>23</v>
      </c>
      <c r="H396" s="1">
        <f t="shared" si="158"/>
        <v>22.5</v>
      </c>
      <c r="I396" s="59"/>
      <c r="J396" s="55">
        <v>90</v>
      </c>
      <c r="K396" s="60">
        <v>8</v>
      </c>
      <c r="L396" s="60">
        <v>180</v>
      </c>
      <c r="M396" s="60">
        <v>1</v>
      </c>
      <c r="N396" s="60"/>
      <c r="O396" s="61"/>
      <c r="P396" s="38">
        <f t="shared" si="150"/>
        <v>0.017282560817541676</v>
      </c>
      <c r="Q396" s="38">
        <f t="shared" si="151"/>
        <v>-0.13915190422268917</v>
      </c>
      <c r="R396" s="38">
        <f t="shared" si="152"/>
        <v>0.9901172461182299</v>
      </c>
      <c r="S396" s="62">
        <f t="shared" si="153"/>
        <v>277.0798376137986</v>
      </c>
      <c r="T396" s="12">
        <f t="shared" si="154"/>
        <v>81.93933913248244</v>
      </c>
      <c r="U396" s="63">
        <f t="shared" si="155"/>
        <v>97.07983761379859</v>
      </c>
      <c r="V396" s="62">
        <f t="shared" si="156"/>
        <v>7.079837613798588</v>
      </c>
      <c r="W396" s="64">
        <f t="shared" si="157"/>
        <v>8.060660867517555</v>
      </c>
      <c r="X396" s="65"/>
      <c r="Y396" s="66"/>
      <c r="Z396" s="67"/>
      <c r="AA396" s="55">
        <v>20</v>
      </c>
      <c r="AB396" s="58">
        <v>25</v>
      </c>
      <c r="AC396" s="68"/>
      <c r="AD396" s="69"/>
      <c r="AE396" s="22"/>
      <c r="AF396" s="12"/>
      <c r="AG396" s="12"/>
      <c r="AH396" s="70"/>
      <c r="AI396" s="67"/>
    </row>
    <row r="397" spans="1:35" s="54" customFormat="1" ht="12.75" customHeight="1">
      <c r="A397" s="89">
        <f>H397/100+344.5</f>
        <v>345.5525</v>
      </c>
      <c r="B397" s="90" t="s">
        <v>49</v>
      </c>
      <c r="C397" s="58" t="s">
        <v>136</v>
      </c>
      <c r="D397" s="58">
        <v>1</v>
      </c>
      <c r="E397" s="55" t="s">
        <v>121</v>
      </c>
      <c r="F397" s="56">
        <v>105</v>
      </c>
      <c r="G397" s="57">
        <v>105.5</v>
      </c>
      <c r="H397" s="1">
        <f t="shared" si="158"/>
        <v>105.25</v>
      </c>
      <c r="I397" s="59"/>
      <c r="J397" s="55">
        <v>90</v>
      </c>
      <c r="K397" s="60">
        <v>2</v>
      </c>
      <c r="L397" s="60">
        <v>0</v>
      </c>
      <c r="M397" s="60">
        <v>3</v>
      </c>
      <c r="N397" s="60"/>
      <c r="O397" s="61"/>
      <c r="P397" s="38">
        <f t="shared" si="150"/>
        <v>0.05230407459247084</v>
      </c>
      <c r="Q397" s="38">
        <f t="shared" si="151"/>
        <v>0.034851668155187324</v>
      </c>
      <c r="R397" s="38">
        <f t="shared" si="152"/>
        <v>-0.9980211966240684</v>
      </c>
      <c r="S397" s="62">
        <f t="shared" si="153"/>
        <v>33.67663081374845</v>
      </c>
      <c r="T397" s="12">
        <f t="shared" si="154"/>
        <v>-86.39647307521291</v>
      </c>
      <c r="U397" s="63">
        <f t="shared" si="155"/>
        <v>33.67663081374845</v>
      </c>
      <c r="V397" s="62">
        <f t="shared" si="156"/>
        <v>303.67663081374843</v>
      </c>
      <c r="W397" s="64">
        <f t="shared" si="157"/>
        <v>3.60352692478709</v>
      </c>
      <c r="X397" s="65"/>
      <c r="Y397" s="66"/>
      <c r="Z397" s="67"/>
      <c r="AA397" s="55">
        <v>104.5</v>
      </c>
      <c r="AB397" s="58">
        <v>108</v>
      </c>
      <c r="AC397" s="68"/>
      <c r="AD397" s="69"/>
      <c r="AE397" s="22"/>
      <c r="AF397" s="12"/>
      <c r="AG397" s="12"/>
      <c r="AH397" s="70"/>
      <c r="AI397" s="67"/>
    </row>
    <row r="398" spans="1:35" s="54" customFormat="1" ht="12.75" customHeight="1">
      <c r="A398" s="89">
        <f>H398/100+345.792</f>
        <v>346.76399999999995</v>
      </c>
      <c r="B398" s="90" t="s">
        <v>49</v>
      </c>
      <c r="C398" s="58" t="s">
        <v>136</v>
      </c>
      <c r="D398" s="58">
        <v>2</v>
      </c>
      <c r="E398" s="55" t="s">
        <v>121</v>
      </c>
      <c r="F398" s="56">
        <v>97.1</v>
      </c>
      <c r="G398" s="57">
        <v>97.3</v>
      </c>
      <c r="H398" s="1">
        <f t="shared" si="158"/>
        <v>97.19999999999999</v>
      </c>
      <c r="I398" s="59"/>
      <c r="J398" s="55">
        <v>90</v>
      </c>
      <c r="K398" s="60">
        <v>2</v>
      </c>
      <c r="L398" s="60">
        <v>180</v>
      </c>
      <c r="M398" s="60">
        <v>5</v>
      </c>
      <c r="N398" s="60"/>
      <c r="O398" s="61"/>
      <c r="P398" s="38">
        <f t="shared" si="150"/>
        <v>0.08710264982404566</v>
      </c>
      <c r="Q398" s="38">
        <f t="shared" si="151"/>
        <v>-0.03476669358110183</v>
      </c>
      <c r="R398" s="38">
        <f t="shared" si="152"/>
        <v>0.995587843197948</v>
      </c>
      <c r="S398" s="62">
        <f t="shared" si="153"/>
        <v>338.2407735204424</v>
      </c>
      <c r="T398" s="12">
        <f t="shared" si="154"/>
        <v>84.61859152100902</v>
      </c>
      <c r="U398" s="63">
        <f t="shared" si="155"/>
        <v>158.24077352044242</v>
      </c>
      <c r="V398" s="62">
        <f t="shared" si="156"/>
        <v>68.24077352044242</v>
      </c>
      <c r="W398" s="64">
        <f t="shared" si="157"/>
        <v>5.381408478990977</v>
      </c>
      <c r="X398" s="65"/>
      <c r="Y398" s="66"/>
      <c r="Z398" s="67"/>
      <c r="AA398" s="55"/>
      <c r="AB398" s="58"/>
      <c r="AC398" s="68"/>
      <c r="AD398" s="69"/>
      <c r="AE398" s="22"/>
      <c r="AF398" s="12"/>
      <c r="AG398" s="12"/>
      <c r="AH398" s="70"/>
      <c r="AI398" s="67"/>
    </row>
    <row r="399" spans="1:35" s="54" customFormat="1" ht="12.75" customHeight="1">
      <c r="A399" s="89">
        <f>H399/100+347.102</f>
        <v>347.876</v>
      </c>
      <c r="B399" s="90" t="s">
        <v>49</v>
      </c>
      <c r="C399" s="58" t="s">
        <v>136</v>
      </c>
      <c r="D399" s="58">
        <v>4</v>
      </c>
      <c r="E399" s="55" t="s">
        <v>121</v>
      </c>
      <c r="F399" s="56">
        <v>77.3</v>
      </c>
      <c r="G399" s="57">
        <v>77.5</v>
      </c>
      <c r="H399" s="1">
        <f t="shared" si="158"/>
        <v>77.4</v>
      </c>
      <c r="I399" s="59"/>
      <c r="J399" s="55">
        <v>270</v>
      </c>
      <c r="K399" s="60">
        <v>1</v>
      </c>
      <c r="L399" s="60">
        <v>0</v>
      </c>
      <c r="M399" s="60">
        <v>5</v>
      </c>
      <c r="N399" s="60"/>
      <c r="O399" s="61"/>
      <c r="P399" s="38">
        <f t="shared" si="150"/>
        <v>-0.08714246850588939</v>
      </c>
      <c r="Q399" s="38">
        <f t="shared" si="151"/>
        <v>0.0173859947617641</v>
      </c>
      <c r="R399" s="38">
        <f t="shared" si="152"/>
        <v>0.9960429728140489</v>
      </c>
      <c r="S399" s="62">
        <f t="shared" si="153"/>
        <v>168.71693817947002</v>
      </c>
      <c r="T399" s="12">
        <f t="shared" si="154"/>
        <v>84.90197245232007</v>
      </c>
      <c r="U399" s="63">
        <f t="shared" si="155"/>
        <v>348.71693817947005</v>
      </c>
      <c r="V399" s="62">
        <f t="shared" si="156"/>
        <v>258.71693817947005</v>
      </c>
      <c r="W399" s="64">
        <f t="shared" si="157"/>
        <v>5.0980275476799335</v>
      </c>
      <c r="X399" s="65"/>
      <c r="Y399" s="66"/>
      <c r="Z399" s="67"/>
      <c r="AA399" s="55"/>
      <c r="AB399" s="58"/>
      <c r="AC399" s="68"/>
      <c r="AD399" s="69"/>
      <c r="AE399" s="22"/>
      <c r="AF399" s="12"/>
      <c r="AG399" s="12"/>
      <c r="AH399" s="70"/>
      <c r="AI399" s="67"/>
    </row>
    <row r="400" spans="1:35" s="54" customFormat="1" ht="12.75" customHeight="1">
      <c r="A400" s="89">
        <f>H400/100+348.402</f>
        <v>348.527</v>
      </c>
      <c r="B400" s="90" t="s">
        <v>49</v>
      </c>
      <c r="C400" s="58" t="s">
        <v>136</v>
      </c>
      <c r="D400" s="58">
        <v>5</v>
      </c>
      <c r="E400" s="55" t="s">
        <v>121</v>
      </c>
      <c r="F400" s="56">
        <v>12</v>
      </c>
      <c r="G400" s="57">
        <v>13</v>
      </c>
      <c r="H400" s="1">
        <f t="shared" si="158"/>
        <v>12.5</v>
      </c>
      <c r="I400" s="59"/>
      <c r="J400" s="55">
        <v>90</v>
      </c>
      <c r="K400" s="60">
        <v>10</v>
      </c>
      <c r="L400" s="60">
        <v>0</v>
      </c>
      <c r="M400" s="60">
        <v>5</v>
      </c>
      <c r="N400" s="60"/>
      <c r="O400" s="61"/>
      <c r="P400" s="38">
        <f t="shared" si="150"/>
        <v>0.08583165117743129</v>
      </c>
      <c r="Q400" s="38">
        <f t="shared" si="151"/>
        <v>0.17298739392508944</v>
      </c>
      <c r="R400" s="38">
        <f t="shared" si="152"/>
        <v>-0.9810602621904069</v>
      </c>
      <c r="S400" s="62">
        <f t="shared" si="153"/>
        <v>63.61064009110688</v>
      </c>
      <c r="T400" s="12">
        <f t="shared" si="154"/>
        <v>-78.86433605880526</v>
      </c>
      <c r="U400" s="63">
        <f t="shared" si="155"/>
        <v>63.61064009110688</v>
      </c>
      <c r="V400" s="62">
        <f t="shared" si="156"/>
        <v>333.61064009110686</v>
      </c>
      <c r="W400" s="64">
        <f t="shared" si="157"/>
        <v>11.135663941194736</v>
      </c>
      <c r="X400" s="65"/>
      <c r="Y400" s="66"/>
      <c r="Z400" s="67"/>
      <c r="AA400" s="55"/>
      <c r="AB400" s="58"/>
      <c r="AC400" s="68"/>
      <c r="AD400" s="69"/>
      <c r="AE400" s="22"/>
      <c r="AF400" s="12"/>
      <c r="AG400" s="12"/>
      <c r="AH400" s="70"/>
      <c r="AI400" s="67"/>
    </row>
    <row r="401" spans="1:35" s="54" customFormat="1" ht="12.75" customHeight="1">
      <c r="A401" s="89">
        <f>H401/100+348.402</f>
        <v>348.6045</v>
      </c>
      <c r="B401" s="90" t="s">
        <v>49</v>
      </c>
      <c r="C401" s="58" t="s">
        <v>136</v>
      </c>
      <c r="D401" s="58">
        <v>5</v>
      </c>
      <c r="E401" s="55" t="s">
        <v>121</v>
      </c>
      <c r="F401" s="56">
        <v>20</v>
      </c>
      <c r="G401" s="57">
        <v>20.5</v>
      </c>
      <c r="H401" s="1">
        <f t="shared" si="158"/>
        <v>20.25</v>
      </c>
      <c r="I401" s="59"/>
      <c r="J401" s="55">
        <v>270</v>
      </c>
      <c r="K401" s="60">
        <v>7</v>
      </c>
      <c r="L401" s="60">
        <v>180</v>
      </c>
      <c r="M401" s="60">
        <v>9</v>
      </c>
      <c r="N401" s="60"/>
      <c r="O401" s="61"/>
      <c r="P401" s="38">
        <f t="shared" si="150"/>
        <v>-0.1552684262597501</v>
      </c>
      <c r="Q401" s="38">
        <f t="shared" si="151"/>
        <v>-0.12036892955724908</v>
      </c>
      <c r="R401" s="38">
        <f t="shared" si="152"/>
        <v>-0.9803262614787073</v>
      </c>
      <c r="S401" s="62">
        <f t="shared" si="153"/>
        <v>217.78395965097144</v>
      </c>
      <c r="T401" s="12">
        <f t="shared" si="154"/>
        <v>-78.66782357766513</v>
      </c>
      <c r="U401" s="63">
        <f t="shared" si="155"/>
        <v>217.78395965097144</v>
      </c>
      <c r="V401" s="62">
        <f t="shared" si="156"/>
        <v>127.78395965097144</v>
      </c>
      <c r="W401" s="64">
        <f t="shared" si="157"/>
        <v>11.332176422334868</v>
      </c>
      <c r="X401" s="65"/>
      <c r="Y401" s="66"/>
      <c r="Z401" s="67"/>
      <c r="AA401" s="55"/>
      <c r="AB401" s="58"/>
      <c r="AC401" s="68"/>
      <c r="AD401" s="69"/>
      <c r="AE401" s="22"/>
      <c r="AF401" s="12"/>
      <c r="AG401" s="12"/>
      <c r="AH401" s="70"/>
      <c r="AI401" s="67"/>
    </row>
    <row r="402" spans="1:35" s="54" customFormat="1" ht="12.75" customHeight="1">
      <c r="A402" s="89">
        <f>H402/100+348.402</f>
        <v>348.767</v>
      </c>
      <c r="B402" s="90" t="s">
        <v>49</v>
      </c>
      <c r="C402" s="58" t="s">
        <v>136</v>
      </c>
      <c r="D402" s="58">
        <v>5</v>
      </c>
      <c r="E402" s="55" t="s">
        <v>121</v>
      </c>
      <c r="F402" s="56">
        <v>36</v>
      </c>
      <c r="G402" s="57">
        <v>37</v>
      </c>
      <c r="H402" s="1">
        <f t="shared" si="158"/>
        <v>36.5</v>
      </c>
      <c r="I402" s="59"/>
      <c r="J402" s="55">
        <v>90</v>
      </c>
      <c r="K402" s="60">
        <v>14</v>
      </c>
      <c r="L402" s="60">
        <v>180</v>
      </c>
      <c r="M402" s="60">
        <v>8</v>
      </c>
      <c r="N402" s="60"/>
      <c r="O402" s="61"/>
      <c r="P402" s="38">
        <f t="shared" si="150"/>
        <v>0.13503906507412924</v>
      </c>
      <c r="Q402" s="38">
        <f t="shared" si="151"/>
        <v>-0.23956752834178277</v>
      </c>
      <c r="R402" s="38">
        <f t="shared" si="152"/>
        <v>0.9608528749675305</v>
      </c>
      <c r="S402" s="62">
        <f t="shared" si="153"/>
        <v>299.40902121518457</v>
      </c>
      <c r="T402" s="12">
        <f t="shared" si="154"/>
        <v>74.02834737613013</v>
      </c>
      <c r="U402" s="63">
        <f t="shared" si="155"/>
        <v>119.40902121518457</v>
      </c>
      <c r="V402" s="62">
        <f t="shared" si="156"/>
        <v>29.409021215184566</v>
      </c>
      <c r="W402" s="64">
        <f t="shared" si="157"/>
        <v>15.971652623869872</v>
      </c>
      <c r="X402" s="65"/>
      <c r="Y402" s="66"/>
      <c r="Z402" s="67"/>
      <c r="AA402" s="55"/>
      <c r="AB402" s="58"/>
      <c r="AC402" s="68"/>
      <c r="AD402" s="69"/>
      <c r="AE402" s="22"/>
      <c r="AF402" s="12"/>
      <c r="AG402" s="12"/>
      <c r="AH402" s="70"/>
      <c r="AI402" s="67"/>
    </row>
    <row r="403" spans="1:35" s="54" customFormat="1" ht="12.75" customHeight="1">
      <c r="A403" s="89">
        <f>H403/100+348.402</f>
        <v>348.7965</v>
      </c>
      <c r="B403" s="90" t="s">
        <v>49</v>
      </c>
      <c r="C403" s="58" t="s">
        <v>136</v>
      </c>
      <c r="D403" s="58">
        <v>5</v>
      </c>
      <c r="E403" s="55" t="s">
        <v>121</v>
      </c>
      <c r="F403" s="56">
        <v>39.4</v>
      </c>
      <c r="G403" s="57">
        <v>39.5</v>
      </c>
      <c r="H403" s="1">
        <f t="shared" si="158"/>
        <v>39.45</v>
      </c>
      <c r="I403" s="59"/>
      <c r="J403" s="55">
        <v>90</v>
      </c>
      <c r="K403" s="60">
        <v>1</v>
      </c>
      <c r="L403" s="60">
        <v>0</v>
      </c>
      <c r="M403" s="60">
        <v>12</v>
      </c>
      <c r="N403" s="60"/>
      <c r="O403" s="61"/>
      <c r="P403" s="38">
        <f t="shared" si="150"/>
        <v>0.20788002486020488</v>
      </c>
      <c r="Q403" s="38">
        <f t="shared" si="151"/>
        <v>0.01707102948366008</v>
      </c>
      <c r="R403" s="38">
        <f t="shared" si="152"/>
        <v>-0.9779986241164497</v>
      </c>
      <c r="S403" s="62">
        <f t="shared" si="153"/>
        <v>4.694573954815986</v>
      </c>
      <c r="T403" s="12">
        <f t="shared" si="154"/>
        <v>-77.96078282984094</v>
      </c>
      <c r="U403" s="63">
        <f t="shared" si="155"/>
        <v>4.694573954815986</v>
      </c>
      <c r="V403" s="62">
        <f t="shared" si="156"/>
        <v>274.694573954816</v>
      </c>
      <c r="W403" s="64">
        <f t="shared" si="157"/>
        <v>12.039217170159063</v>
      </c>
      <c r="X403" s="65"/>
      <c r="Y403" s="66"/>
      <c r="Z403" s="67"/>
      <c r="AA403" s="55"/>
      <c r="AB403" s="58"/>
      <c r="AC403" s="68"/>
      <c r="AD403" s="69"/>
      <c r="AE403" s="22"/>
      <c r="AF403" s="12"/>
      <c r="AG403" s="12"/>
      <c r="AH403" s="70"/>
      <c r="AI403" s="67"/>
    </row>
    <row r="404" spans="1:35" s="54" customFormat="1" ht="12.75" customHeight="1">
      <c r="A404" s="89">
        <f>H404/100+349.5</f>
        <v>349.5975</v>
      </c>
      <c r="B404" s="90" t="s">
        <v>49</v>
      </c>
      <c r="C404" s="58" t="s">
        <v>137</v>
      </c>
      <c r="D404" s="58">
        <v>1</v>
      </c>
      <c r="E404" s="55" t="s">
        <v>121</v>
      </c>
      <c r="F404" s="56">
        <v>9.5</v>
      </c>
      <c r="G404" s="57">
        <v>10</v>
      </c>
      <c r="H404" s="1">
        <f t="shared" si="158"/>
        <v>9.75</v>
      </c>
      <c r="I404" s="59"/>
      <c r="J404" s="55">
        <v>90</v>
      </c>
      <c r="K404" s="60">
        <v>4</v>
      </c>
      <c r="L404" s="60">
        <v>180</v>
      </c>
      <c r="M404" s="60">
        <v>1</v>
      </c>
      <c r="N404" s="60"/>
      <c r="O404" s="61"/>
      <c r="P404" s="38">
        <f t="shared" si="150"/>
        <v>0.017409893252357162</v>
      </c>
      <c r="Q404" s="38">
        <f t="shared" si="151"/>
        <v>-0.06974584949530101</v>
      </c>
      <c r="R404" s="38">
        <f t="shared" si="152"/>
        <v>0.9974121164231596</v>
      </c>
      <c r="S404" s="62">
        <f t="shared" si="153"/>
        <v>284.01569916405356</v>
      </c>
      <c r="T404" s="12">
        <f t="shared" si="154"/>
        <v>85.87768053918502</v>
      </c>
      <c r="U404" s="63">
        <f t="shared" si="155"/>
        <v>104.01569916405356</v>
      </c>
      <c r="V404" s="62">
        <f t="shared" si="156"/>
        <v>14.015699164053558</v>
      </c>
      <c r="W404" s="64">
        <f t="shared" si="157"/>
        <v>4.122319460814978</v>
      </c>
      <c r="X404" s="65"/>
      <c r="Y404" s="66"/>
      <c r="Z404" s="67"/>
      <c r="AA404" s="55"/>
      <c r="AB404" s="58"/>
      <c r="AC404" s="68"/>
      <c r="AD404" s="69"/>
      <c r="AE404" s="22"/>
      <c r="AF404" s="12"/>
      <c r="AG404" s="12"/>
      <c r="AH404" s="70"/>
      <c r="AI404" s="67"/>
    </row>
    <row r="405" spans="1:35" s="54" customFormat="1" ht="12.75" customHeight="1">
      <c r="A405" s="89">
        <f>H405/100+350.546</f>
        <v>350.82099999999997</v>
      </c>
      <c r="B405" s="90" t="s">
        <v>49</v>
      </c>
      <c r="C405" s="58" t="s">
        <v>137</v>
      </c>
      <c r="D405" s="58">
        <v>2</v>
      </c>
      <c r="E405" s="55" t="s">
        <v>121</v>
      </c>
      <c r="F405" s="56">
        <v>27</v>
      </c>
      <c r="G405" s="57">
        <v>28</v>
      </c>
      <c r="H405" s="1">
        <f t="shared" si="158"/>
        <v>27.5</v>
      </c>
      <c r="I405" s="59"/>
      <c r="J405" s="55">
        <v>270</v>
      </c>
      <c r="K405" s="60">
        <v>3</v>
      </c>
      <c r="L405" s="60">
        <v>0</v>
      </c>
      <c r="M405" s="60">
        <v>11</v>
      </c>
      <c r="N405" s="60"/>
      <c r="O405" s="61"/>
      <c r="P405" s="38">
        <f t="shared" si="150"/>
        <v>-0.19054749827986656</v>
      </c>
      <c r="Q405" s="38">
        <f t="shared" si="151"/>
        <v>0.05137439731980117</v>
      </c>
      <c r="R405" s="38">
        <f t="shared" si="152"/>
        <v>0.9802818975087834</v>
      </c>
      <c r="S405" s="62">
        <f t="shared" si="153"/>
        <v>164.91100553754532</v>
      </c>
      <c r="T405" s="12">
        <f t="shared" si="154"/>
        <v>78.6172909458482</v>
      </c>
      <c r="U405" s="63">
        <f t="shared" si="155"/>
        <v>344.9110055375453</v>
      </c>
      <c r="V405" s="62">
        <f t="shared" si="156"/>
        <v>254.9110055375453</v>
      </c>
      <c r="W405" s="64">
        <f t="shared" si="157"/>
        <v>11.382709054151803</v>
      </c>
      <c r="X405" s="65"/>
      <c r="Y405" s="66"/>
      <c r="Z405" s="67"/>
      <c r="AA405" s="55"/>
      <c r="AB405" s="58"/>
      <c r="AC405" s="68"/>
      <c r="AD405" s="69"/>
      <c r="AE405" s="22"/>
      <c r="AF405" s="12"/>
      <c r="AG405" s="12"/>
      <c r="AH405" s="70"/>
      <c r="AI405" s="67"/>
    </row>
    <row r="406" spans="1:35" s="54" customFormat="1" ht="12.75" customHeight="1">
      <c r="A406" s="89">
        <f>H406/100+352.345</f>
        <v>352.53000000000003</v>
      </c>
      <c r="B406" s="90" t="s">
        <v>49</v>
      </c>
      <c r="C406" s="58" t="s">
        <v>137</v>
      </c>
      <c r="D406" s="58">
        <v>6</v>
      </c>
      <c r="E406" s="55" t="s">
        <v>121</v>
      </c>
      <c r="F406" s="56">
        <v>18.5</v>
      </c>
      <c r="G406" s="57">
        <v>18.5</v>
      </c>
      <c r="H406" s="1">
        <f t="shared" si="158"/>
        <v>18.5</v>
      </c>
      <c r="I406" s="59"/>
      <c r="J406" s="55">
        <v>90</v>
      </c>
      <c r="K406" s="60">
        <v>7</v>
      </c>
      <c r="L406" s="60">
        <v>0</v>
      </c>
      <c r="M406" s="60">
        <v>1</v>
      </c>
      <c r="N406" s="60"/>
      <c r="O406" s="61"/>
      <c r="P406" s="38">
        <f t="shared" si="150"/>
        <v>0.017322318846205984</v>
      </c>
      <c r="Q406" s="38">
        <f t="shared" si="151"/>
        <v>0.12185078211385945</v>
      </c>
      <c r="R406" s="38">
        <f t="shared" si="152"/>
        <v>-0.9923949820549218</v>
      </c>
      <c r="S406" s="62">
        <f t="shared" si="153"/>
        <v>81.909040562702</v>
      </c>
      <c r="T406" s="12">
        <f t="shared" si="154"/>
        <v>-82.93032926402522</v>
      </c>
      <c r="U406" s="63">
        <f t="shared" si="155"/>
        <v>81.909040562702</v>
      </c>
      <c r="V406" s="62">
        <f t="shared" si="156"/>
        <v>351.909040562702</v>
      </c>
      <c r="W406" s="64">
        <f t="shared" si="157"/>
        <v>7.069670735974782</v>
      </c>
      <c r="X406" s="65"/>
      <c r="Y406" s="66"/>
      <c r="Z406" s="67"/>
      <c r="AA406" s="55"/>
      <c r="AB406" s="58"/>
      <c r="AC406" s="68"/>
      <c r="AD406" s="69"/>
      <c r="AE406" s="22"/>
      <c r="AF406" s="12"/>
      <c r="AG406" s="12"/>
      <c r="AH406" s="70"/>
      <c r="AI406" s="67"/>
    </row>
    <row r="407" spans="1:35" s="54" customFormat="1" ht="12.75" customHeight="1">
      <c r="A407" s="89">
        <f>H407/100+353.409</f>
        <v>353.6015</v>
      </c>
      <c r="B407" s="90" t="s">
        <v>49</v>
      </c>
      <c r="C407" s="58" t="s">
        <v>137</v>
      </c>
      <c r="D407" s="58">
        <v>7</v>
      </c>
      <c r="E407" s="55" t="s">
        <v>121</v>
      </c>
      <c r="F407" s="56">
        <v>19</v>
      </c>
      <c r="G407" s="57">
        <v>19.5</v>
      </c>
      <c r="H407" s="1">
        <f t="shared" si="158"/>
        <v>19.25</v>
      </c>
      <c r="I407" s="59"/>
      <c r="J407" s="55">
        <v>90</v>
      </c>
      <c r="K407" s="60">
        <v>9</v>
      </c>
      <c r="L407" s="60">
        <v>180</v>
      </c>
      <c r="M407" s="60">
        <v>16</v>
      </c>
      <c r="N407" s="60"/>
      <c r="O407" s="61"/>
      <c r="P407" s="38">
        <f t="shared" si="150"/>
        <v>0.27224380257292347</v>
      </c>
      <c r="Q407" s="38">
        <f t="shared" si="151"/>
        <v>-0.150374459167776</v>
      </c>
      <c r="R407" s="38">
        <f t="shared" si="152"/>
        <v>0.9494269693389861</v>
      </c>
      <c r="S407" s="62">
        <f t="shared" si="153"/>
        <v>331.08583858532467</v>
      </c>
      <c r="T407" s="12">
        <f t="shared" si="154"/>
        <v>71.86224763411478</v>
      </c>
      <c r="U407" s="63">
        <f t="shared" si="155"/>
        <v>151.08583858532467</v>
      </c>
      <c r="V407" s="62">
        <f t="shared" si="156"/>
        <v>61.085838585324666</v>
      </c>
      <c r="W407" s="64">
        <f t="shared" si="157"/>
        <v>18.13775236588522</v>
      </c>
      <c r="X407" s="65"/>
      <c r="Y407" s="66"/>
      <c r="Z407" s="67"/>
      <c r="AA407" s="55"/>
      <c r="AB407" s="58"/>
      <c r="AC407" s="68"/>
      <c r="AD407" s="69"/>
      <c r="AE407" s="22"/>
      <c r="AF407" s="12"/>
      <c r="AG407" s="12"/>
      <c r="AH407" s="70"/>
      <c r="AI407" s="67"/>
    </row>
    <row r="408" spans="1:35" s="54" customFormat="1" ht="12.75" customHeight="1">
      <c r="A408" s="89">
        <f>H408/100+353.409</f>
        <v>354.174</v>
      </c>
      <c r="B408" s="90" t="s">
        <v>49</v>
      </c>
      <c r="C408" s="58" t="s">
        <v>137</v>
      </c>
      <c r="D408" s="58">
        <v>7</v>
      </c>
      <c r="E408" s="55" t="s">
        <v>121</v>
      </c>
      <c r="F408" s="56">
        <v>76</v>
      </c>
      <c r="G408" s="57">
        <v>77</v>
      </c>
      <c r="H408" s="1">
        <f t="shared" si="158"/>
        <v>76.5</v>
      </c>
      <c r="I408" s="59"/>
      <c r="J408" s="55">
        <v>90</v>
      </c>
      <c r="K408" s="60">
        <v>7</v>
      </c>
      <c r="L408" s="60">
        <v>180</v>
      </c>
      <c r="M408" s="60">
        <v>8</v>
      </c>
      <c r="N408" s="60"/>
      <c r="O408" s="61"/>
      <c r="P408" s="38">
        <f t="shared" si="150"/>
        <v>0.1381357257699021</v>
      </c>
      <c r="Q408" s="38">
        <f t="shared" si="151"/>
        <v>-0.12068331933261864</v>
      </c>
      <c r="R408" s="38">
        <f t="shared" si="152"/>
        <v>0.9828867607227297</v>
      </c>
      <c r="S408" s="62">
        <f t="shared" si="153"/>
        <v>318.85766737554553</v>
      </c>
      <c r="T408" s="12">
        <f t="shared" si="154"/>
        <v>79.42894908769492</v>
      </c>
      <c r="U408" s="63">
        <f t="shared" si="155"/>
        <v>138.85766737554553</v>
      </c>
      <c r="V408" s="62">
        <f t="shared" si="156"/>
        <v>48.85766737554553</v>
      </c>
      <c r="W408" s="64">
        <f t="shared" si="157"/>
        <v>10.571050912305083</v>
      </c>
      <c r="X408" s="65"/>
      <c r="Y408" s="66"/>
      <c r="Z408" s="67"/>
      <c r="AA408" s="55"/>
      <c r="AB408" s="58"/>
      <c r="AC408" s="68"/>
      <c r="AD408" s="69"/>
      <c r="AE408" s="22"/>
      <c r="AF408" s="12"/>
      <c r="AG408" s="12"/>
      <c r="AH408" s="70"/>
      <c r="AI408" s="67"/>
    </row>
    <row r="409" spans="1:35" s="54" customFormat="1" ht="12.75" customHeight="1">
      <c r="A409" s="89">
        <f>H409/100+354.5</f>
        <v>354.595</v>
      </c>
      <c r="B409" s="90" t="s">
        <v>49</v>
      </c>
      <c r="C409" s="58" t="s">
        <v>138</v>
      </c>
      <c r="D409" s="58">
        <v>1</v>
      </c>
      <c r="E409" s="55" t="s">
        <v>121</v>
      </c>
      <c r="F409" s="56">
        <v>9.3</v>
      </c>
      <c r="G409" s="57">
        <v>9.7</v>
      </c>
      <c r="H409" s="1">
        <f t="shared" si="158"/>
        <v>9.5</v>
      </c>
      <c r="I409" s="59"/>
      <c r="J409" s="55">
        <v>270</v>
      </c>
      <c r="K409" s="60">
        <v>4</v>
      </c>
      <c r="L409" s="60">
        <v>0</v>
      </c>
      <c r="M409" s="60">
        <v>0</v>
      </c>
      <c r="N409" s="60"/>
      <c r="O409" s="61"/>
      <c r="P409" s="38">
        <f t="shared" si="150"/>
        <v>0</v>
      </c>
      <c r="Q409" s="38">
        <f t="shared" si="151"/>
        <v>0.0697564737441253</v>
      </c>
      <c r="R409" s="38">
        <f t="shared" si="152"/>
        <v>0.9975640502598242</v>
      </c>
      <c r="S409" s="62">
        <f t="shared" si="153"/>
        <v>90</v>
      </c>
      <c r="T409" s="12">
        <f t="shared" si="154"/>
        <v>85.99999999999996</v>
      </c>
      <c r="U409" s="63">
        <f t="shared" si="155"/>
        <v>270</v>
      </c>
      <c r="V409" s="62">
        <f t="shared" si="156"/>
        <v>180</v>
      </c>
      <c r="W409" s="64">
        <f t="shared" si="157"/>
        <v>4.000000000000043</v>
      </c>
      <c r="X409" s="65"/>
      <c r="Y409" s="66"/>
      <c r="Z409" s="67"/>
      <c r="AA409" s="55"/>
      <c r="AB409" s="58"/>
      <c r="AC409" s="68"/>
      <c r="AD409" s="69"/>
      <c r="AE409" s="22"/>
      <c r="AF409" s="12"/>
      <c r="AG409" s="12"/>
      <c r="AH409" s="70"/>
      <c r="AI409" s="67"/>
    </row>
    <row r="410" spans="1:35" s="54" customFormat="1" ht="12.75" customHeight="1">
      <c r="A410" s="89">
        <f>H410/100+354.5</f>
        <v>354.995</v>
      </c>
      <c r="B410" s="90" t="s">
        <v>49</v>
      </c>
      <c r="C410" s="58" t="s">
        <v>138</v>
      </c>
      <c r="D410" s="58">
        <v>1</v>
      </c>
      <c r="E410" s="55" t="s">
        <v>121</v>
      </c>
      <c r="F410" s="56">
        <v>49</v>
      </c>
      <c r="G410" s="57">
        <v>50</v>
      </c>
      <c r="H410" s="1">
        <f t="shared" si="158"/>
        <v>49.5</v>
      </c>
      <c r="I410" s="59"/>
      <c r="J410" s="55">
        <v>270</v>
      </c>
      <c r="K410" s="60">
        <v>9</v>
      </c>
      <c r="L410" s="60">
        <v>180</v>
      </c>
      <c r="M410" s="60">
        <v>8</v>
      </c>
      <c r="N410" s="60"/>
      <c r="O410" s="61"/>
      <c r="P410" s="38">
        <f t="shared" si="150"/>
        <v>-0.13745964914272663</v>
      </c>
      <c r="Q410" s="38">
        <f t="shared" si="151"/>
        <v>-0.1549120555800101</v>
      </c>
      <c r="R410" s="38">
        <f t="shared" si="152"/>
        <v>-0.9780762255597134</v>
      </c>
      <c r="S410" s="62">
        <f t="shared" si="153"/>
        <v>228.41607643764075</v>
      </c>
      <c r="T410" s="12">
        <f t="shared" si="154"/>
        <v>-78.04431351289413</v>
      </c>
      <c r="U410" s="63">
        <f t="shared" si="155"/>
        <v>228.41607643764075</v>
      </c>
      <c r="V410" s="62">
        <f t="shared" si="156"/>
        <v>138.41607643764075</v>
      </c>
      <c r="W410" s="64">
        <f t="shared" si="157"/>
        <v>11.955686487105865</v>
      </c>
      <c r="X410" s="65"/>
      <c r="Y410" s="66"/>
      <c r="Z410" s="67"/>
      <c r="AA410" s="55"/>
      <c r="AB410" s="58"/>
      <c r="AC410" s="68"/>
      <c r="AD410" s="69"/>
      <c r="AE410" s="63"/>
      <c r="AF410" s="62"/>
      <c r="AG410" s="62"/>
      <c r="AH410" s="70"/>
      <c r="AI410" s="67"/>
    </row>
    <row r="411" spans="1:35" s="54" customFormat="1" ht="12.75" customHeight="1">
      <c r="A411" s="89">
        <f>H411/100+354.5</f>
        <v>355.2625</v>
      </c>
      <c r="B411" s="90" t="s">
        <v>49</v>
      </c>
      <c r="C411" s="58" t="s">
        <v>138</v>
      </c>
      <c r="D411" s="58">
        <v>1</v>
      </c>
      <c r="E411" s="55" t="s">
        <v>121</v>
      </c>
      <c r="F411" s="56">
        <v>76</v>
      </c>
      <c r="G411" s="57">
        <v>76.5</v>
      </c>
      <c r="H411" s="1">
        <f t="shared" si="158"/>
        <v>76.25</v>
      </c>
      <c r="I411" s="59"/>
      <c r="J411" s="55">
        <v>90</v>
      </c>
      <c r="K411" s="60">
        <v>6</v>
      </c>
      <c r="L411" s="60">
        <v>180</v>
      </c>
      <c r="M411" s="60">
        <v>3</v>
      </c>
      <c r="N411" s="60"/>
      <c r="O411" s="61"/>
      <c r="P411" s="38">
        <f t="shared" si="150"/>
        <v>0.052049254398643496</v>
      </c>
      <c r="Q411" s="38">
        <f t="shared" si="151"/>
        <v>-0.10438521064158733</v>
      </c>
      <c r="R411" s="38">
        <f t="shared" si="152"/>
        <v>0.9931589376748557</v>
      </c>
      <c r="S411" s="62">
        <f t="shared" si="153"/>
        <v>296.5020697359814</v>
      </c>
      <c r="T411" s="12">
        <f t="shared" si="154"/>
        <v>83.30154702070026</v>
      </c>
      <c r="U411" s="63">
        <f t="shared" si="155"/>
        <v>116.50206973598142</v>
      </c>
      <c r="V411" s="62">
        <f t="shared" si="156"/>
        <v>26.502069735981422</v>
      </c>
      <c r="W411" s="64">
        <f t="shared" si="157"/>
        <v>6.698452979299745</v>
      </c>
      <c r="X411" s="65"/>
      <c r="Y411" s="66"/>
      <c r="Z411" s="67"/>
      <c r="AA411" s="55"/>
      <c r="AB411" s="58"/>
      <c r="AC411" s="68"/>
      <c r="AD411" s="69"/>
      <c r="AE411" s="63"/>
      <c r="AF411" s="62"/>
      <c r="AG411" s="62"/>
      <c r="AH411" s="70"/>
      <c r="AI411" s="67"/>
    </row>
    <row r="412" spans="1:35" s="54" customFormat="1" ht="12.75" customHeight="1">
      <c r="A412" s="89">
        <f>H412/100+355.651</f>
        <v>356.2835</v>
      </c>
      <c r="B412" s="90" t="s">
        <v>49</v>
      </c>
      <c r="C412" s="58" t="s">
        <v>138</v>
      </c>
      <c r="D412" s="58">
        <v>2</v>
      </c>
      <c r="E412" s="55" t="s">
        <v>121</v>
      </c>
      <c r="F412" s="56">
        <v>62.5</v>
      </c>
      <c r="G412" s="57">
        <v>64</v>
      </c>
      <c r="H412" s="1">
        <f t="shared" si="158"/>
        <v>63.25</v>
      </c>
      <c r="I412" s="59"/>
      <c r="J412" s="55">
        <v>90</v>
      </c>
      <c r="K412" s="60">
        <v>13</v>
      </c>
      <c r="L412" s="60">
        <v>0</v>
      </c>
      <c r="M412" s="60">
        <v>17</v>
      </c>
      <c r="N412" s="60"/>
      <c r="O412" s="61"/>
      <c r="P412" s="38">
        <f t="shared" si="150"/>
        <v>0.2848782368720627</v>
      </c>
      <c r="Q412" s="38">
        <f t="shared" si="151"/>
        <v>0.21512176312793732</v>
      </c>
      <c r="R412" s="38">
        <f t="shared" si="152"/>
        <v>-0.9317947270221314</v>
      </c>
      <c r="S412" s="62">
        <f t="shared" si="153"/>
        <v>37.057761043092746</v>
      </c>
      <c r="T412" s="12">
        <f t="shared" si="154"/>
        <v>-69.03778800899867</v>
      </c>
      <c r="U412" s="63">
        <f t="shared" si="155"/>
        <v>37.057761043092746</v>
      </c>
      <c r="V412" s="62">
        <f t="shared" si="156"/>
        <v>307.05776104309274</v>
      </c>
      <c r="W412" s="64">
        <f t="shared" si="157"/>
        <v>20.962211991001325</v>
      </c>
      <c r="X412" s="65"/>
      <c r="Y412" s="66"/>
      <c r="Z412" s="67"/>
      <c r="AA412" s="55"/>
      <c r="AB412" s="58"/>
      <c r="AC412" s="68"/>
      <c r="AD412" s="69"/>
      <c r="AE412" s="63"/>
      <c r="AF412" s="62"/>
      <c r="AG412" s="62"/>
      <c r="AH412" s="70"/>
      <c r="AI412" s="67"/>
    </row>
    <row r="413" spans="1:35" s="54" customFormat="1" ht="12.75" customHeight="1">
      <c r="A413" s="89">
        <f>H413/100+355.651</f>
        <v>356.426</v>
      </c>
      <c r="B413" s="90" t="s">
        <v>49</v>
      </c>
      <c r="C413" s="58" t="s">
        <v>138</v>
      </c>
      <c r="D413" s="58">
        <v>2</v>
      </c>
      <c r="E413" s="55" t="s">
        <v>121</v>
      </c>
      <c r="F413" s="56">
        <v>77</v>
      </c>
      <c r="G413" s="57">
        <v>78</v>
      </c>
      <c r="H413" s="1">
        <f t="shared" si="158"/>
        <v>77.5</v>
      </c>
      <c r="I413" s="59"/>
      <c r="J413" s="55">
        <v>270</v>
      </c>
      <c r="K413" s="60">
        <v>9</v>
      </c>
      <c r="L413" s="60">
        <v>0</v>
      </c>
      <c r="M413" s="60">
        <v>5</v>
      </c>
      <c r="N413" s="60"/>
      <c r="O413" s="61"/>
      <c r="P413" s="38">
        <f t="shared" si="150"/>
        <v>-0.08608271092777121</v>
      </c>
      <c r="Q413" s="38">
        <f t="shared" si="151"/>
        <v>0.15583918467189653</v>
      </c>
      <c r="R413" s="38">
        <f t="shared" si="152"/>
        <v>0.9839298882679104</v>
      </c>
      <c r="S413" s="62">
        <f t="shared" si="153"/>
        <v>118.91545636591997</v>
      </c>
      <c r="T413" s="12">
        <f t="shared" si="154"/>
        <v>79.74377297772563</v>
      </c>
      <c r="U413" s="63">
        <f t="shared" si="155"/>
        <v>298.91545636591997</v>
      </c>
      <c r="V413" s="62">
        <f t="shared" si="156"/>
        <v>208.91545636591997</v>
      </c>
      <c r="W413" s="64">
        <f t="shared" si="157"/>
        <v>10.256227022274373</v>
      </c>
      <c r="X413" s="65"/>
      <c r="Y413" s="66"/>
      <c r="Z413" s="67"/>
      <c r="AA413" s="55"/>
      <c r="AB413" s="58"/>
      <c r="AC413" s="68"/>
      <c r="AD413" s="69"/>
      <c r="AE413" s="63"/>
      <c r="AF413" s="62"/>
      <c r="AG413" s="62"/>
      <c r="AH413" s="70"/>
      <c r="AI413" s="67"/>
    </row>
    <row r="414" spans="1:35" s="54" customFormat="1" ht="12.75" customHeight="1">
      <c r="A414" s="89">
        <f>H414/100+356.822</f>
        <v>356.8695</v>
      </c>
      <c r="B414" s="90" t="s">
        <v>49</v>
      </c>
      <c r="C414" s="58" t="s">
        <v>138</v>
      </c>
      <c r="D414" s="58">
        <v>4</v>
      </c>
      <c r="E414" s="55" t="s">
        <v>121</v>
      </c>
      <c r="F414" s="56">
        <v>3</v>
      </c>
      <c r="G414" s="57">
        <v>6.5</v>
      </c>
      <c r="H414" s="1">
        <f t="shared" si="158"/>
        <v>4.75</v>
      </c>
      <c r="I414" s="59"/>
      <c r="J414" s="55">
        <v>270</v>
      </c>
      <c r="K414" s="60">
        <v>43</v>
      </c>
      <c r="L414" s="60">
        <v>180</v>
      </c>
      <c r="M414" s="60">
        <v>11</v>
      </c>
      <c r="N414" s="60"/>
      <c r="O414" s="61"/>
      <c r="P414" s="38">
        <f t="shared" si="150"/>
        <v>-0.13954886507087133</v>
      </c>
      <c r="Q414" s="38">
        <f t="shared" si="151"/>
        <v>-0.6694681293040762</v>
      </c>
      <c r="R414" s="38">
        <f t="shared" si="152"/>
        <v>-0.7179166742244496</v>
      </c>
      <c r="S414" s="62">
        <f t="shared" si="153"/>
        <v>258.2254496545696</v>
      </c>
      <c r="T414" s="12">
        <f t="shared" si="154"/>
        <v>-46.391840946959704</v>
      </c>
      <c r="U414" s="63">
        <f t="shared" si="155"/>
        <v>258.2254496545696</v>
      </c>
      <c r="V414" s="62">
        <f t="shared" si="156"/>
        <v>168.22544965456962</v>
      </c>
      <c r="W414" s="64">
        <f t="shared" si="157"/>
        <v>43.608159053040296</v>
      </c>
      <c r="X414" s="65"/>
      <c r="Y414" s="66"/>
      <c r="Z414" s="67"/>
      <c r="AA414" s="55"/>
      <c r="AB414" s="58"/>
      <c r="AC414" s="68"/>
      <c r="AD414" s="69"/>
      <c r="AE414" s="63"/>
      <c r="AF414" s="62"/>
      <c r="AG414" s="62"/>
      <c r="AH414" s="70"/>
      <c r="AI414" s="67"/>
    </row>
    <row r="415" spans="1:35" s="54" customFormat="1" ht="12.75" customHeight="1">
      <c r="A415" s="89">
        <f>H415/100+356.822</f>
        <v>356.9945</v>
      </c>
      <c r="B415" s="90" t="s">
        <v>49</v>
      </c>
      <c r="C415" s="58" t="s">
        <v>138</v>
      </c>
      <c r="D415" s="58">
        <v>4</v>
      </c>
      <c r="E415" s="55" t="s">
        <v>121</v>
      </c>
      <c r="F415" s="56">
        <v>16</v>
      </c>
      <c r="G415" s="57">
        <v>18.5</v>
      </c>
      <c r="H415" s="1">
        <f t="shared" si="158"/>
        <v>17.25</v>
      </c>
      <c r="I415" s="59"/>
      <c r="J415" s="55">
        <v>270</v>
      </c>
      <c r="K415" s="60">
        <v>20</v>
      </c>
      <c r="L415" s="60">
        <v>180</v>
      </c>
      <c r="M415" s="60">
        <v>34</v>
      </c>
      <c r="N415" s="60"/>
      <c r="O415" s="61"/>
      <c r="P415" s="38">
        <f t="shared" si="150"/>
        <v>-0.5254694449873076</v>
      </c>
      <c r="Q415" s="38">
        <f t="shared" si="151"/>
        <v>-0.2835475493876397</v>
      </c>
      <c r="R415" s="38">
        <f t="shared" si="152"/>
        <v>-0.7790404892842347</v>
      </c>
      <c r="S415" s="62">
        <f t="shared" si="153"/>
        <v>208.35165699761984</v>
      </c>
      <c r="T415" s="12">
        <f t="shared" si="154"/>
        <v>-52.531864218035885</v>
      </c>
      <c r="U415" s="63">
        <f t="shared" si="155"/>
        <v>208.35165699761984</v>
      </c>
      <c r="V415" s="62">
        <f t="shared" si="156"/>
        <v>118.35165699761984</v>
      </c>
      <c r="W415" s="64">
        <f t="shared" si="157"/>
        <v>37.468135781964115</v>
      </c>
      <c r="X415" s="65"/>
      <c r="Y415" s="66"/>
      <c r="Z415" s="67"/>
      <c r="AA415" s="55"/>
      <c r="AB415" s="58"/>
      <c r="AC415" s="68"/>
      <c r="AD415" s="69"/>
      <c r="AE415" s="63"/>
      <c r="AF415" s="62"/>
      <c r="AG415" s="62"/>
      <c r="AH415" s="70"/>
      <c r="AI415" s="67"/>
    </row>
    <row r="416" spans="1:35" s="54" customFormat="1" ht="12.75" customHeight="1">
      <c r="A416" s="89">
        <f>H416/100+356.822</f>
        <v>357.0395</v>
      </c>
      <c r="B416" s="90" t="s">
        <v>49</v>
      </c>
      <c r="C416" s="58" t="s">
        <v>138</v>
      </c>
      <c r="D416" s="58">
        <v>4</v>
      </c>
      <c r="E416" s="55" t="s">
        <v>121</v>
      </c>
      <c r="F416" s="56">
        <v>21</v>
      </c>
      <c r="G416" s="57">
        <v>22.5</v>
      </c>
      <c r="H416" s="1">
        <f t="shared" si="158"/>
        <v>21.75</v>
      </c>
      <c r="I416" s="59"/>
      <c r="J416" s="55">
        <v>270</v>
      </c>
      <c r="K416" s="60">
        <v>14</v>
      </c>
      <c r="L416" s="60">
        <v>0</v>
      </c>
      <c r="M416" s="60">
        <v>23</v>
      </c>
      <c r="N416" s="60"/>
      <c r="O416" s="61"/>
      <c r="P416" s="38">
        <f t="shared" si="150"/>
        <v>-0.37912474409613955</v>
      </c>
      <c r="Q416" s="38">
        <f t="shared" si="151"/>
        <v>0.2226902790559088</v>
      </c>
      <c r="R416" s="38">
        <f t="shared" si="152"/>
        <v>0.8931619253212153</v>
      </c>
      <c r="S416" s="62">
        <f t="shared" si="153"/>
        <v>149.57087728720208</v>
      </c>
      <c r="T416" s="12">
        <f t="shared" si="154"/>
        <v>63.78972466698481</v>
      </c>
      <c r="U416" s="63">
        <f t="shared" si="155"/>
        <v>329.57087728720205</v>
      </c>
      <c r="V416" s="62">
        <f t="shared" si="156"/>
        <v>239.57087728720205</v>
      </c>
      <c r="W416" s="64">
        <f t="shared" si="157"/>
        <v>26.21027533301519</v>
      </c>
      <c r="X416" s="65"/>
      <c r="Y416" s="66"/>
      <c r="Z416" s="67"/>
      <c r="AA416" s="55"/>
      <c r="AB416" s="58"/>
      <c r="AC416" s="68"/>
      <c r="AD416" s="69"/>
      <c r="AE416" s="63"/>
      <c r="AF416" s="62"/>
      <c r="AG416" s="62"/>
      <c r="AH416" s="70"/>
      <c r="AI416" s="67"/>
    </row>
    <row r="417" spans="1:39" s="54" customFormat="1" ht="12.75" customHeight="1">
      <c r="A417" s="89">
        <f>H417/100+360.628</f>
        <v>360.803</v>
      </c>
      <c r="B417" s="90" t="s">
        <v>49</v>
      </c>
      <c r="C417" s="58" t="s">
        <v>139</v>
      </c>
      <c r="D417" s="58">
        <v>2</v>
      </c>
      <c r="E417" s="55" t="s">
        <v>121</v>
      </c>
      <c r="F417" s="56">
        <v>17</v>
      </c>
      <c r="G417" s="57">
        <v>18</v>
      </c>
      <c r="H417" s="1">
        <f t="shared" si="158"/>
        <v>17.5</v>
      </c>
      <c r="I417" s="59"/>
      <c r="J417" s="55">
        <v>270</v>
      </c>
      <c r="K417" s="60">
        <v>5</v>
      </c>
      <c r="L417" s="60">
        <v>180</v>
      </c>
      <c r="M417" s="60">
        <v>12</v>
      </c>
      <c r="N417" s="60"/>
      <c r="O417" s="61"/>
      <c r="P417" s="38">
        <f t="shared" si="150"/>
        <v>-0.20712052406394207</v>
      </c>
      <c r="Q417" s="38">
        <f t="shared" si="151"/>
        <v>-0.08525118065879458</v>
      </c>
      <c r="R417" s="38">
        <f t="shared" si="152"/>
        <v>-0.9744254538021788</v>
      </c>
      <c r="S417" s="62">
        <f t="shared" si="153"/>
        <v>202.37215393486088</v>
      </c>
      <c r="T417" s="12">
        <f t="shared" si="154"/>
        <v>-77.05497976736896</v>
      </c>
      <c r="U417" s="63">
        <f t="shared" si="155"/>
        <v>202.37215393486088</v>
      </c>
      <c r="V417" s="62">
        <f t="shared" si="156"/>
        <v>112.37215393486088</v>
      </c>
      <c r="W417" s="64">
        <f t="shared" si="157"/>
        <v>12.945020232631038</v>
      </c>
      <c r="X417" s="65"/>
      <c r="Y417" s="66"/>
      <c r="Z417" s="67"/>
      <c r="AA417" s="55"/>
      <c r="AB417" s="58"/>
      <c r="AC417" s="68"/>
      <c r="AD417" s="69"/>
      <c r="AE417" s="63"/>
      <c r="AF417" s="62"/>
      <c r="AG417" s="62"/>
      <c r="AH417" s="70"/>
      <c r="AI417" s="67"/>
      <c r="AM417"/>
    </row>
    <row r="418" spans="1:39" s="54" customFormat="1" ht="12.75" customHeight="1">
      <c r="A418" s="89">
        <f>H418/100+362.165</f>
        <v>362.33000000000004</v>
      </c>
      <c r="B418" s="90" t="s">
        <v>49</v>
      </c>
      <c r="C418" s="58" t="s">
        <v>139</v>
      </c>
      <c r="D418" s="58">
        <v>4</v>
      </c>
      <c r="E418" s="55" t="s">
        <v>121</v>
      </c>
      <c r="F418" s="56">
        <v>16</v>
      </c>
      <c r="G418" s="57">
        <v>17</v>
      </c>
      <c r="H418" s="1">
        <f t="shared" si="158"/>
        <v>16.5</v>
      </c>
      <c r="I418" s="59"/>
      <c r="J418" s="55">
        <v>270</v>
      </c>
      <c r="K418" s="60">
        <v>5</v>
      </c>
      <c r="L418" s="60">
        <v>180</v>
      </c>
      <c r="M418" s="60">
        <v>11</v>
      </c>
      <c r="N418" s="60"/>
      <c r="O418" s="61"/>
      <c r="P418" s="38">
        <f t="shared" si="150"/>
        <v>-0.19008290954232632</v>
      </c>
      <c r="Q418" s="38">
        <f t="shared" si="151"/>
        <v>-0.0855544462746728</v>
      </c>
      <c r="R418" s="38">
        <f t="shared" si="152"/>
        <v>-0.9778917956532961</v>
      </c>
      <c r="S418" s="62">
        <f t="shared" si="153"/>
        <v>204.23204082196978</v>
      </c>
      <c r="T418" s="12">
        <f t="shared" si="154"/>
        <v>-77.96682320895555</v>
      </c>
      <c r="U418" s="63">
        <f t="shared" si="155"/>
        <v>204.23204082196978</v>
      </c>
      <c r="V418" s="62">
        <f t="shared" si="156"/>
        <v>114.23204082196978</v>
      </c>
      <c r="W418" s="64">
        <f t="shared" si="157"/>
        <v>12.033176791044454</v>
      </c>
      <c r="X418" s="65"/>
      <c r="Y418" s="66"/>
      <c r="Z418" s="67"/>
      <c r="AA418" s="55">
        <v>16</v>
      </c>
      <c r="AB418" s="58">
        <v>43</v>
      </c>
      <c r="AC418" s="85">
        <v>-142</v>
      </c>
      <c r="AD418" s="86">
        <v>-84</v>
      </c>
      <c r="AE418" s="63">
        <f>IF(AD418&gt;=0,IF(U418&gt;=AC418,U418-AC418,U418-AC418+360),IF((U418-AC418-180)&lt;0,IF(U418-AC418+180&lt;0,U418-AC418+540,U418-AC418+180),U418-AC418-180))</f>
        <v>166.2320408219698</v>
      </c>
      <c r="AF418" s="62">
        <f>IF(AE418-90&lt;0,AE418+270,AE418-90)</f>
        <v>76.2320408219698</v>
      </c>
      <c r="AG418" s="62">
        <f>W418</f>
        <v>12.033176791044454</v>
      </c>
      <c r="AH418" s="70"/>
      <c r="AI418" s="67"/>
      <c r="AM418"/>
    </row>
    <row r="419" spans="1:39" s="54" customFormat="1" ht="12.75" customHeight="1">
      <c r="A419" s="89">
        <f>H419/100+362.165</f>
        <v>362.56</v>
      </c>
      <c r="B419" s="90" t="s">
        <v>49</v>
      </c>
      <c r="C419" s="58" t="s">
        <v>139</v>
      </c>
      <c r="D419" s="58">
        <v>4</v>
      </c>
      <c r="E419" s="55" t="s">
        <v>121</v>
      </c>
      <c r="F419" s="56">
        <v>39</v>
      </c>
      <c r="G419" s="57">
        <v>40</v>
      </c>
      <c r="H419" s="1">
        <f t="shared" si="158"/>
        <v>39.5</v>
      </c>
      <c r="I419" s="59"/>
      <c r="J419" s="55">
        <v>270</v>
      </c>
      <c r="K419" s="60">
        <v>4</v>
      </c>
      <c r="L419" s="60">
        <v>180</v>
      </c>
      <c r="M419" s="60">
        <v>9</v>
      </c>
      <c r="N419" s="60"/>
      <c r="O419" s="61"/>
      <c r="P419" s="38">
        <f t="shared" si="150"/>
        <v>-0.15605339854576158</v>
      </c>
      <c r="Q419" s="38">
        <f t="shared" si="151"/>
        <v>-0.06889765579810339</v>
      </c>
      <c r="R419" s="38">
        <f t="shared" si="152"/>
        <v>-0.9852823814384903</v>
      </c>
      <c r="S419" s="62">
        <f t="shared" si="153"/>
        <v>203.82148309250752</v>
      </c>
      <c r="T419" s="12">
        <f t="shared" si="154"/>
        <v>-80.17752295184955</v>
      </c>
      <c r="U419" s="63">
        <f t="shared" si="155"/>
        <v>203.82148309250752</v>
      </c>
      <c r="V419" s="62">
        <f t="shared" si="156"/>
        <v>113.82148309250752</v>
      </c>
      <c r="W419" s="64">
        <f t="shared" si="157"/>
        <v>9.822477048150446</v>
      </c>
      <c r="X419" s="65"/>
      <c r="Y419" s="66"/>
      <c r="Z419" s="67"/>
      <c r="AA419" s="55">
        <v>16</v>
      </c>
      <c r="AB419" s="58">
        <v>43</v>
      </c>
      <c r="AC419" s="85">
        <v>-142</v>
      </c>
      <c r="AD419" s="86">
        <v>-84</v>
      </c>
      <c r="AE419" s="63">
        <f>IF(AD419&gt;=0,IF(U419&gt;=AC419,U419-AC419,U419-AC419+360),IF((U419-AC419-180)&lt;0,IF(U419-AC419+180&lt;0,U419-AC419+540,U419-AC419+180),U419-AC419-180))</f>
        <v>165.8214830925075</v>
      </c>
      <c r="AF419" s="62">
        <f>IF(AE419-90&lt;0,AE419+270,AE419-90)</f>
        <v>75.82148309250749</v>
      </c>
      <c r="AG419" s="62">
        <f>W419</f>
        <v>9.822477048150446</v>
      </c>
      <c r="AH419" s="70"/>
      <c r="AI419" s="67"/>
      <c r="AM419"/>
    </row>
    <row r="420" spans="1:39" s="54" customFormat="1" ht="12.75" customHeight="1">
      <c r="A420" s="89">
        <f>H420/100+375</f>
        <v>375.34</v>
      </c>
      <c r="B420" s="90" t="s">
        <v>49</v>
      </c>
      <c r="C420" s="58" t="s">
        <v>140</v>
      </c>
      <c r="D420" s="58">
        <v>1</v>
      </c>
      <c r="E420" s="55" t="s">
        <v>121</v>
      </c>
      <c r="F420" s="56">
        <v>34</v>
      </c>
      <c r="G420" s="57">
        <v>34</v>
      </c>
      <c r="H420" s="1">
        <f t="shared" si="158"/>
        <v>34</v>
      </c>
      <c r="I420" s="59"/>
      <c r="J420" s="55">
        <v>270</v>
      </c>
      <c r="K420" s="60">
        <v>2</v>
      </c>
      <c r="L420" s="60">
        <v>180</v>
      </c>
      <c r="M420" s="60">
        <v>44</v>
      </c>
      <c r="N420" s="60"/>
      <c r="O420" s="61"/>
      <c r="P420" s="38">
        <f t="shared" si="150"/>
        <v>-0.6942352033487547</v>
      </c>
      <c r="Q420" s="38">
        <f t="shared" si="151"/>
        <v>-0.025104596989896335</v>
      </c>
      <c r="R420" s="38">
        <f t="shared" si="152"/>
        <v>-0.7189015979681959</v>
      </c>
      <c r="S420" s="62">
        <f t="shared" si="153"/>
        <v>182.0709998093042</v>
      </c>
      <c r="T420" s="12">
        <f t="shared" si="154"/>
        <v>-45.981292645965766</v>
      </c>
      <c r="U420" s="63">
        <f t="shared" si="155"/>
        <v>182.0709998093042</v>
      </c>
      <c r="V420" s="62">
        <f t="shared" si="156"/>
        <v>92.0709998093042</v>
      </c>
      <c r="W420" s="64">
        <f t="shared" si="157"/>
        <v>44.018707354034234</v>
      </c>
      <c r="X420" s="65"/>
      <c r="Y420" s="66"/>
      <c r="Z420" s="67"/>
      <c r="AA420" s="55"/>
      <c r="AB420" s="58"/>
      <c r="AC420" s="68"/>
      <c r="AD420" s="69"/>
      <c r="AE420" s="63"/>
      <c r="AF420" s="62"/>
      <c r="AG420" s="62"/>
      <c r="AH420" s="70"/>
      <c r="AI420" s="67"/>
      <c r="AM420"/>
    </row>
    <row r="421" spans="1:39" s="54" customFormat="1" ht="12.75" customHeight="1">
      <c r="A421" s="89">
        <f>H421/100+375</f>
        <v>376.275</v>
      </c>
      <c r="B421" s="90" t="s">
        <v>49</v>
      </c>
      <c r="C421" s="58" t="s">
        <v>140</v>
      </c>
      <c r="D421" s="58">
        <v>1</v>
      </c>
      <c r="E421" s="55" t="s">
        <v>121</v>
      </c>
      <c r="F421" s="56">
        <v>127</v>
      </c>
      <c r="G421" s="57">
        <v>128</v>
      </c>
      <c r="H421" s="1">
        <f t="shared" si="158"/>
        <v>127.5</v>
      </c>
      <c r="I421" s="59"/>
      <c r="J421" s="55">
        <v>90</v>
      </c>
      <c r="K421" s="60">
        <v>6</v>
      </c>
      <c r="L421" s="60">
        <v>0</v>
      </c>
      <c r="M421" s="60">
        <v>8</v>
      </c>
      <c r="N421" s="60"/>
      <c r="O421" s="61"/>
      <c r="P421" s="38">
        <f t="shared" si="150"/>
        <v>0.13841069615108434</v>
      </c>
      <c r="Q421" s="38">
        <f t="shared" si="151"/>
        <v>0.10351119944858335</v>
      </c>
      <c r="R421" s="38">
        <f t="shared" si="152"/>
        <v>-0.9848432766475461</v>
      </c>
      <c r="S421" s="62">
        <f t="shared" si="153"/>
        <v>36.79117910834262</v>
      </c>
      <c r="T421" s="12">
        <f t="shared" si="154"/>
        <v>-80.04621733697256</v>
      </c>
      <c r="U421" s="63">
        <f t="shared" si="155"/>
        <v>36.79117910834262</v>
      </c>
      <c r="V421" s="62">
        <f t="shared" si="156"/>
        <v>306.7911791083426</v>
      </c>
      <c r="W421" s="64">
        <f t="shared" si="157"/>
        <v>9.95378266302744</v>
      </c>
      <c r="X421" s="65"/>
      <c r="Y421" s="66"/>
      <c r="Z421" s="67"/>
      <c r="AA421" s="55"/>
      <c r="AB421" s="58"/>
      <c r="AC421" s="68"/>
      <c r="AD421" s="69"/>
      <c r="AE421" s="63"/>
      <c r="AF421" s="62"/>
      <c r="AG421" s="62"/>
      <c r="AH421" s="70"/>
      <c r="AI421" s="67"/>
      <c r="AM421"/>
    </row>
    <row r="422" spans="1:35" ht="12.75" customHeight="1" thickBot="1">
      <c r="A422" s="91"/>
      <c r="B422" s="4"/>
      <c r="C422" s="4"/>
      <c r="D422" s="4"/>
      <c r="E422" s="3"/>
      <c r="F422" s="34"/>
      <c r="G422" s="35"/>
      <c r="H422" s="4"/>
      <c r="I422" s="43"/>
      <c r="J422" s="3"/>
      <c r="K422" s="36"/>
      <c r="L422" s="36"/>
      <c r="M422" s="36"/>
      <c r="N422" s="36"/>
      <c r="O422" s="47"/>
      <c r="P422" s="53"/>
      <c r="Q422" s="39"/>
      <c r="R422" s="39"/>
      <c r="S422" s="13"/>
      <c r="T422" s="13"/>
      <c r="U422" s="24"/>
      <c r="V422" s="13"/>
      <c r="W422" s="14"/>
      <c r="X422" s="51"/>
      <c r="Y422" s="52"/>
      <c r="Z422" s="37"/>
      <c r="AA422" s="3"/>
      <c r="AB422" s="4"/>
      <c r="AC422" s="3"/>
      <c r="AD422" s="5"/>
      <c r="AE422" s="24"/>
      <c r="AF422" s="13"/>
      <c r="AG422" s="13"/>
      <c r="AH422" s="49"/>
      <c r="AI422" s="37"/>
    </row>
    <row r="423" spans="5:33" ht="12.75">
      <c r="E423" s="1"/>
      <c r="F423" s="15"/>
      <c r="G423" s="17"/>
      <c r="H423" s="1"/>
      <c r="I423" s="41"/>
      <c r="J423" s="1"/>
      <c r="K423" s="1"/>
      <c r="L423" s="1"/>
      <c r="M423" s="1"/>
      <c r="N423" s="1" t="s">
        <v>42</v>
      </c>
      <c r="O423" s="50" t="s">
        <v>26</v>
      </c>
      <c r="P423" s="19"/>
      <c r="Q423" s="19"/>
      <c r="R423" s="19"/>
      <c r="S423" s="19"/>
      <c r="T423" s="19"/>
      <c r="U423" s="19"/>
      <c r="V423" s="19"/>
      <c r="W423" s="19"/>
      <c r="X423" s="19"/>
      <c r="Y423" s="30"/>
      <c r="Z423" s="25"/>
      <c r="AA423" s="1"/>
      <c r="AB423" s="1"/>
      <c r="AC423" s="30" t="s">
        <v>17</v>
      </c>
      <c r="AD423" s="1"/>
      <c r="AE423" s="1"/>
      <c r="AF423" s="1"/>
      <c r="AG423" s="1"/>
    </row>
    <row r="424" spans="5:33" ht="12.75">
      <c r="E424" s="1"/>
      <c r="F424" s="15"/>
      <c r="G424" s="17"/>
      <c r="H424" s="1"/>
      <c r="I424" s="41"/>
      <c r="J424" s="1"/>
      <c r="K424" s="1"/>
      <c r="L424" s="1"/>
      <c r="M424" s="1"/>
      <c r="N424" s="1"/>
      <c r="O424" s="45" t="s">
        <v>27</v>
      </c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25"/>
      <c r="AA424" s="1"/>
      <c r="AB424" s="1"/>
      <c r="AC424" s="29"/>
      <c r="AD424" s="1"/>
      <c r="AE424" s="1"/>
      <c r="AF424" s="1"/>
      <c r="AG424" s="1"/>
    </row>
    <row r="425" spans="15:26" ht="12.75">
      <c r="O425" s="45" t="s">
        <v>28</v>
      </c>
      <c r="Z425" s="26"/>
    </row>
    <row r="426" ht="12.75">
      <c r="Z426" s="26"/>
    </row>
    <row r="427" ht="12.75">
      <c r="Z427" s="26"/>
    </row>
    <row r="428" ht="12.75">
      <c r="Z428" s="26"/>
    </row>
    <row r="429" ht="12.75">
      <c r="Z429" s="26"/>
    </row>
    <row r="430" ht="12.75">
      <c r="Z430" s="26"/>
    </row>
    <row r="431" ht="12.75">
      <c r="Z431" s="26"/>
    </row>
    <row r="432" ht="12.75">
      <c r="Z432" s="26"/>
    </row>
    <row r="433" ht="12.75">
      <c r="Z433" s="26"/>
    </row>
    <row r="434" ht="12.75">
      <c r="Z434" s="26"/>
    </row>
    <row r="435" ht="12.75">
      <c r="Z435" s="26"/>
    </row>
    <row r="436" ht="12.75">
      <c r="Z436" s="26"/>
    </row>
    <row r="437" ht="12.75">
      <c r="Z437" s="26"/>
    </row>
    <row r="438" ht="12.75">
      <c r="Z438" s="26"/>
    </row>
    <row r="439" ht="12.75">
      <c r="Z439" s="26"/>
    </row>
    <row r="440" ht="12.75">
      <c r="Z440" s="26"/>
    </row>
    <row r="441" ht="12.75">
      <c r="Z441" s="26"/>
    </row>
    <row r="442" ht="12.75">
      <c r="Z442" s="26"/>
    </row>
    <row r="443" ht="12.75">
      <c r="Z443" s="26"/>
    </row>
    <row r="444" ht="12.75">
      <c r="Z444" s="26"/>
    </row>
    <row r="445" ht="12.75">
      <c r="Z445" s="26"/>
    </row>
    <row r="446" ht="12.75">
      <c r="Z446" s="26"/>
    </row>
    <row r="447" ht="12.75">
      <c r="Z447" s="26"/>
    </row>
    <row r="448" ht="12.75">
      <c r="Z448" s="26"/>
    </row>
    <row r="449" ht="12.75">
      <c r="Z449" s="26"/>
    </row>
    <row r="450" ht="12.75">
      <c r="Z450" s="26"/>
    </row>
    <row r="451" ht="12.75">
      <c r="Z451" s="26"/>
    </row>
    <row r="452" ht="12.75">
      <c r="Z452" s="26"/>
    </row>
    <row r="453" ht="12.75">
      <c r="Z453" s="26"/>
    </row>
    <row r="454" ht="12.75">
      <c r="Z454" s="26"/>
    </row>
    <row r="455" ht="12.75">
      <c r="Z455" s="26"/>
    </row>
    <row r="456" ht="12.75">
      <c r="Z456" s="26"/>
    </row>
    <row r="457" ht="12.75">
      <c r="Z457" s="26"/>
    </row>
    <row r="458" ht="12.75">
      <c r="Z458" s="26"/>
    </row>
    <row r="459" ht="12.75">
      <c r="Z459" s="26"/>
    </row>
    <row r="460" ht="12.75">
      <c r="Z460" s="26"/>
    </row>
    <row r="461" ht="12.75">
      <c r="Z461" s="26"/>
    </row>
    <row r="462" ht="12.75">
      <c r="Z462" s="26"/>
    </row>
    <row r="463" ht="12.75">
      <c r="Z463" s="26"/>
    </row>
    <row r="464" ht="12.75">
      <c r="Z464" s="26"/>
    </row>
    <row r="465" ht="12.75">
      <c r="Z465" s="26"/>
    </row>
    <row r="466" ht="12.75">
      <c r="Z466" s="26"/>
    </row>
    <row r="467" ht="12.75">
      <c r="Z467" s="26"/>
    </row>
    <row r="468" ht="12.75">
      <c r="Z468" s="26"/>
    </row>
    <row r="469" ht="12.75">
      <c r="Z469" s="26"/>
    </row>
    <row r="470" ht="12.75">
      <c r="Z470" s="26"/>
    </row>
    <row r="471" ht="12.75">
      <c r="Z471" s="26"/>
    </row>
    <row r="472" ht="12.75">
      <c r="Z472" s="26"/>
    </row>
    <row r="473" ht="12.75">
      <c r="Z473" s="26"/>
    </row>
    <row r="474" ht="12.75">
      <c r="Z474" s="26"/>
    </row>
    <row r="475" ht="12.75">
      <c r="Z475" s="26"/>
    </row>
    <row r="476" ht="12.75">
      <c r="Z476" s="26"/>
    </row>
    <row r="477" ht="12.75">
      <c r="Z477" s="26"/>
    </row>
    <row r="478" ht="12.75">
      <c r="Z478" s="26"/>
    </row>
    <row r="479" ht="12.75">
      <c r="Z479" s="26"/>
    </row>
    <row r="480" ht="12.75">
      <c r="Z480" s="26"/>
    </row>
    <row r="481" ht="12.75">
      <c r="Z481" s="26"/>
    </row>
    <row r="482" ht="12.75">
      <c r="Z482" s="26"/>
    </row>
    <row r="483" ht="12.75">
      <c r="Z483" s="26"/>
    </row>
    <row r="484" ht="12.75">
      <c r="Z484" s="26"/>
    </row>
    <row r="485" ht="12.75">
      <c r="Z485" s="26"/>
    </row>
    <row r="486" ht="12.75">
      <c r="Z486" s="26"/>
    </row>
    <row r="487" ht="12.75">
      <c r="Z487" s="26"/>
    </row>
    <row r="488" ht="12.75">
      <c r="Z488" s="26"/>
    </row>
    <row r="490" ht="12.75"/>
    <row r="496" ht="12.75"/>
    <row r="499" ht="12.75"/>
    <row r="500" ht="12.75"/>
    <row r="501" ht="12.75"/>
    <row r="506" ht="12.75"/>
    <row r="507" ht="12.75"/>
    <row r="516" ht="12.75"/>
    <row r="520" ht="12.75"/>
    <row r="522" ht="12.75"/>
    <row r="528" ht="12.75"/>
    <row r="531" ht="12.75"/>
    <row r="532" ht="12.75"/>
    <row r="533" ht="12.75"/>
    <row r="538" ht="12.75"/>
    <row r="539" ht="12.75"/>
    <row r="548" ht="12.75"/>
    <row r="552" ht="12.75"/>
    <row r="554" ht="12.75"/>
    <row r="560" ht="12.75"/>
    <row r="563" ht="12.75"/>
    <row r="564" ht="12.75"/>
    <row r="565" ht="12.75"/>
    <row r="570" ht="12.75"/>
    <row r="571" ht="12.75"/>
    <row r="580" ht="12.75"/>
    <row r="584" ht="12.75"/>
    <row r="586" ht="12.75"/>
    <row r="592" ht="12.75"/>
    <row r="595" ht="12.75"/>
    <row r="596" ht="12.75"/>
    <row r="597" ht="12.75"/>
    <row r="602" ht="12.75"/>
    <row r="603" ht="12.75"/>
    <row r="612" ht="12.75"/>
    <row r="616" ht="12.75"/>
    <row r="618" ht="12.75"/>
    <row r="624" ht="12.75"/>
    <row r="627" ht="12.75"/>
    <row r="628" ht="12.75"/>
    <row r="629" ht="12.75"/>
    <row r="634" ht="12.75"/>
    <row r="635" ht="12.75"/>
    <row r="644" ht="12.75"/>
  </sheetData>
  <sheetProtection/>
  <mergeCells count="18">
    <mergeCell ref="AH1:AI1"/>
    <mergeCell ref="B1:B2"/>
    <mergeCell ref="C1:C2"/>
    <mergeCell ref="D1:D2"/>
    <mergeCell ref="AA1:AB1"/>
    <mergeCell ref="L1:M1"/>
    <mergeCell ref="P1:T1"/>
    <mergeCell ref="E1:E2"/>
    <mergeCell ref="X1:Z1"/>
    <mergeCell ref="AE1:AG1"/>
    <mergeCell ref="AC1:AD1"/>
    <mergeCell ref="F1:F2"/>
    <mergeCell ref="G1:G2"/>
    <mergeCell ref="H1:H2"/>
    <mergeCell ref="U1:W1"/>
    <mergeCell ref="N1:O1"/>
    <mergeCell ref="I1:I2"/>
    <mergeCell ref="J1:K1"/>
  </mergeCells>
  <printOptions horizontalCentered="1" verticalCentered="1"/>
  <pageMargins left="0.196850393700787" right="0.196850393700787" top="0.511811023622047" bottom="0.196850393700787" header="0.511811023622047" footer="0.196850393700787"/>
  <pageSetup fitToHeight="3" fitToWidth="1" horizontalDpi="300" verticalDpi="3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 of Pennsylvania Geoscience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Lewis</dc:creator>
  <cp:keywords/>
  <dc:description/>
  <cp:lastModifiedBy>lab</cp:lastModifiedBy>
  <cp:lastPrinted>2011-01-05T20:56:44Z</cp:lastPrinted>
  <dcterms:created xsi:type="dcterms:W3CDTF">2007-11-18T21:30:59Z</dcterms:created>
  <dcterms:modified xsi:type="dcterms:W3CDTF">2011-01-05T20:57:30Z</dcterms:modified>
  <cp:category/>
  <cp:version/>
  <cp:contentType/>
  <cp:contentStatus/>
</cp:coreProperties>
</file>