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" yWindow="660" windowWidth="32765" windowHeight="23300" tabRatio="500" firstSheet="2" activeTab="3"/>
  </bookViews>
  <sheets>
    <sheet name="C0024B" sheetId="1" r:id="rId1"/>
    <sheet name="C0024D" sheetId="2" r:id="rId2"/>
    <sheet name="C0024E" sheetId="3" r:id="rId3"/>
    <sheet name="C0024G" sheetId="4" r:id="rId4"/>
    <sheet name="C0025A" sheetId="5" r:id="rId5"/>
  </sheets>
  <definedNames/>
  <calcPr fullCalcOnLoad="1"/>
</workbook>
</file>

<file path=xl/sharedStrings.xml><?xml version="1.0" encoding="utf-8"?>
<sst xmlns="http://schemas.openxmlformats.org/spreadsheetml/2006/main" count="1910" uniqueCount="176">
  <si>
    <t>hole</t>
  </si>
  <si>
    <t>core</t>
  </si>
  <si>
    <t>sect</t>
  </si>
  <si>
    <t>structure ID</t>
  </si>
  <si>
    <t>Top depth</t>
  </si>
  <si>
    <t>bottom depth</t>
  </si>
  <si>
    <t>av. Depth</t>
  </si>
  <si>
    <t>top of struct</t>
  </si>
  <si>
    <t xml:space="preserve">bottom of struct </t>
  </si>
  <si>
    <t>average depth</t>
  </si>
  <si>
    <t>core face app. dip</t>
  </si>
  <si>
    <t>2nd app. dip</t>
  </si>
  <si>
    <t>striation on surface</t>
  </si>
  <si>
    <t xml:space="preserve"> plane-normal orientation</t>
  </si>
  <si>
    <t xml:space="preserve"> plane orientation (RHR)</t>
  </si>
  <si>
    <t>striation</t>
  </si>
  <si>
    <t>cohoerent interval (for P-mag)</t>
  </si>
  <si>
    <t>P-mag pole</t>
  </si>
  <si>
    <t>corrected orientation (RHR)</t>
  </si>
  <si>
    <t>striation</t>
  </si>
  <si>
    <t>Site</t>
  </si>
  <si>
    <t>az</t>
  </si>
  <si>
    <t>dip</t>
  </si>
  <si>
    <t>rake</t>
  </si>
  <si>
    <t>from</t>
  </si>
  <si>
    <t>l</t>
  </si>
  <si>
    <t>m</t>
  </si>
  <si>
    <t>n</t>
  </si>
  <si>
    <t>dip dir</t>
  </si>
  <si>
    <t>strike</t>
  </si>
  <si>
    <t>csf rake</t>
  </si>
  <si>
    <t>str rake</t>
  </si>
  <si>
    <t>trend</t>
  </si>
  <si>
    <t>plunge</t>
  </si>
  <si>
    <t>slip sense</t>
  </si>
  <si>
    <t>top</t>
  </si>
  <si>
    <t>bottom</t>
  </si>
  <si>
    <t>Dec</t>
  </si>
  <si>
    <t>Inc</t>
  </si>
  <si>
    <t>srtike</t>
  </si>
  <si>
    <t>rake</t>
  </si>
  <si>
    <t>trend</t>
  </si>
  <si>
    <t>plunge</t>
  </si>
  <si>
    <t>slip sense</t>
  </si>
  <si>
    <t>Remarks</t>
  </si>
  <si>
    <t>C0024</t>
  </si>
  <si>
    <t>D</t>
  </si>
  <si>
    <t>fault</t>
  </si>
  <si>
    <t>bedding</t>
  </si>
  <si>
    <t>shear zone ?</t>
  </si>
  <si>
    <t>minor shear</t>
  </si>
  <si>
    <t>shears</t>
  </si>
  <si>
    <t>structure</t>
  </si>
  <si>
    <t>modifier</t>
  </si>
  <si>
    <t>normal</t>
  </si>
  <si>
    <t>minor</t>
  </si>
  <si>
    <t>uncertain, faint</t>
  </si>
  <si>
    <t>minor thrust?</t>
  </si>
  <si>
    <t>load structure sand ons ilty clay</t>
  </si>
  <si>
    <t>hyaloclastic layer?</t>
  </si>
  <si>
    <t>~5mm apparent dip slip</t>
  </si>
  <si>
    <t>hyaloclastic bed?</t>
  </si>
  <si>
    <t>~1cm apparent dip slip</t>
  </si>
  <si>
    <t>normal, minor, crack?</t>
  </si>
  <si>
    <t>orientation not well constrained</t>
  </si>
  <si>
    <t>~2mm displacment, not clearly visibe in CT</t>
  </si>
  <si>
    <t>ash</t>
  </si>
  <si>
    <t>~ 1.5 cm apparent dip displacement</t>
  </si>
  <si>
    <t>distrupted bedding</t>
  </si>
  <si>
    <t>brght CT band (shear compaction?)</t>
  </si>
  <si>
    <t>9cm wide zone of 5-8 minor hailine shearss with apparent thrust and lateral separation</t>
  </si>
  <si>
    <t>slip uncertain</t>
  </si>
  <si>
    <t>thrust?</t>
  </si>
  <si>
    <t xml:space="preserve">truncated by fault above it </t>
  </si>
  <si>
    <t>slip uncertan</t>
  </si>
  <si>
    <t>see Core 3 section 6 sketch</t>
  </si>
  <si>
    <t>branching fault zone, at least 9cm displacement</t>
  </si>
  <si>
    <t>bright CT band</t>
  </si>
  <si>
    <t>~1cm apparent offset</t>
  </si>
  <si>
    <t>0.5 cm apparent offset</t>
  </si>
  <si>
    <t>1-2 mm apparent offset</t>
  </si>
  <si>
    <t>associated with next two lower faults; 10cm wide hear zone</t>
  </si>
  <si>
    <t>antithetic to above fault</t>
  </si>
  <si>
    <t>antethitetic to main fault</t>
  </si>
  <si>
    <t>main fault</t>
  </si>
  <si>
    <t>uncertain</t>
  </si>
  <si>
    <t>minor fracture</t>
  </si>
  <si>
    <t>bringht band in CT</t>
  </si>
  <si>
    <t>apparent thrust</t>
  </si>
  <si>
    <t>~8mm aparent offset</t>
  </si>
  <si>
    <t>6mm wide zone of bright CT bands</t>
  </si>
  <si>
    <t>near vertical</t>
  </si>
  <si>
    <t>probably normal fault</t>
  </si>
  <si>
    <t>see sketch in core log sheet</t>
  </si>
  <si>
    <t>minimal to no displacement</t>
  </si>
  <si>
    <t>fault zone</t>
  </si>
  <si>
    <t>B</t>
  </si>
  <si>
    <t>m CSF-B</t>
  </si>
  <si>
    <t>sediment filled veins</t>
  </si>
  <si>
    <t>E</t>
  </si>
  <si>
    <t>fissility</t>
  </si>
  <si>
    <t>G</t>
  </si>
  <si>
    <t>strike slip, left lateral</t>
  </si>
  <si>
    <t>reverse; healed</t>
  </si>
  <si>
    <t>normal; healed</t>
  </si>
  <si>
    <t>normal, minor; healed</t>
  </si>
  <si>
    <t>minor; healed</t>
  </si>
  <si>
    <t>healed</t>
  </si>
  <si>
    <t>deformation band, conjugate</t>
  </si>
  <si>
    <t>set 2</t>
  </si>
  <si>
    <t>PMAG</t>
  </si>
  <si>
    <t>main set 1</t>
  </si>
  <si>
    <t>deformation band</t>
  </si>
  <si>
    <t>Remarks</t>
  </si>
  <si>
    <t>slip sense</t>
  </si>
  <si>
    <t>plunge</t>
  </si>
  <si>
    <t>trend</t>
  </si>
  <si>
    <t>rake</t>
  </si>
  <si>
    <t>srtike</t>
  </si>
  <si>
    <t>n</t>
  </si>
  <si>
    <t>m</t>
  </si>
  <si>
    <t>l</t>
  </si>
  <si>
    <t>str rake</t>
  </si>
  <si>
    <t>csf rake</t>
  </si>
  <si>
    <t>strike</t>
  </si>
  <si>
    <t>az</t>
  </si>
  <si>
    <t>from</t>
  </si>
  <si>
    <t>mbsf</t>
  </si>
  <si>
    <t>striation</t>
  </si>
  <si>
    <t>corrected orientation (RHR)</t>
  </si>
  <si>
    <t xml:space="preserve"> plane orientation (RHR)</t>
  </si>
  <si>
    <t>striation on surface</t>
  </si>
  <si>
    <t>av. depth</t>
  </si>
  <si>
    <t>top depth</t>
  </si>
  <si>
    <t>sect</t>
  </si>
  <si>
    <t>\</t>
  </si>
  <si>
    <t>each vein</t>
  </si>
  <si>
    <t>12R</t>
  </si>
  <si>
    <t>A</t>
  </si>
  <si>
    <t>C0025</t>
  </si>
  <si>
    <t>19R</t>
  </si>
  <si>
    <t>18R</t>
  </si>
  <si>
    <t>each vein</t>
  </si>
  <si>
    <t>11R</t>
  </si>
  <si>
    <t>at center of vein structure array</t>
  </si>
  <si>
    <t>normal fault</t>
  </si>
  <si>
    <t>13R</t>
  </si>
  <si>
    <t>fresh surface,  may be drilling-induced</t>
  </si>
  <si>
    <t>9R</t>
  </si>
  <si>
    <t>fracture</t>
  </si>
  <si>
    <t>15R</t>
  </si>
  <si>
    <t>10mm-thick healed fault</t>
  </si>
  <si>
    <t>3mm-thick healed fault</t>
  </si>
  <si>
    <t>1mm-thick healed fault</t>
  </si>
  <si>
    <t>~2cm-thick fault zone composed of vein structure</t>
  </si>
  <si>
    <t>Fault</t>
  </si>
  <si>
    <t>1-2 cm-thick, thick fault zone, healed</t>
  </si>
  <si>
    <t>3mm-thick, healed, some part is composed of vein structures</t>
  </si>
  <si>
    <t>3mm-thick, healed</t>
  </si>
  <si>
    <t>2mm-thick, healed</t>
  </si>
  <si>
    <t>16R</t>
  </si>
  <si>
    <t>14R</t>
  </si>
  <si>
    <t>dark seam</t>
  </si>
  <si>
    <t>10R</t>
  </si>
  <si>
    <t>8R</t>
  </si>
  <si>
    <t>sand-rich bed</t>
  </si>
  <si>
    <t>coal bed</t>
  </si>
  <si>
    <t>6R</t>
  </si>
  <si>
    <t>5R</t>
  </si>
  <si>
    <t>4R</t>
  </si>
  <si>
    <t>3R</t>
  </si>
  <si>
    <t>vein array</t>
  </si>
  <si>
    <t>Array_vein st</t>
  </si>
  <si>
    <t>vein array parralel to healed fault ?</t>
  </si>
  <si>
    <t>sediment fill vein</t>
  </si>
  <si>
    <t>gray: unreliable magnetic correction (PCA MAD3 &gt; 15)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</si>
</sst>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.0"/>
    <numFmt numFmtId="193" formatCode="0.0_ "/>
    <numFmt numFmtId="194" formatCode="0.00_ "/>
    <numFmt numFmtId="195" formatCode="0_);[Red]\(0\)"/>
    <numFmt numFmtId="196" formatCode="0_ "/>
    <numFmt numFmtId="197" formatCode="0.000000"/>
    <numFmt numFmtId="198" formatCode="0.00000"/>
    <numFmt numFmtId="199" formatCode="0.0000"/>
    <numFmt numFmtId="200" formatCode="0.00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0.00_);[Red]\(0.00\)"/>
    <numFmt numFmtId="205" formatCode="[$]ggge&quot;年&quot;m&quot;月&quot;d&quot;日&quot;;@"/>
    <numFmt numFmtId="206" formatCode="[$]gge&quot;年&quot;m&quot;月&quot;d&quot;日&quot;;@"/>
  </numFmts>
  <fonts count="44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vertical="top"/>
      <protection locked="0"/>
    </xf>
    <xf numFmtId="194" fontId="40" fillId="0" borderId="0" xfId="0" applyNumberFormat="1" applyFont="1" applyFill="1" applyBorder="1" applyAlignment="1">
      <alignment/>
    </xf>
    <xf numFmtId="1" fontId="4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0" fillId="0" borderId="10" xfId="0" applyNumberFormat="1" applyFont="1" applyFill="1" applyBorder="1" applyAlignment="1">
      <alignment/>
    </xf>
    <xf numFmtId="1" fontId="40" fillId="0" borderId="11" xfId="0" applyNumberFormat="1" applyFont="1" applyFill="1" applyBorder="1" applyAlignment="1">
      <alignment/>
    </xf>
    <xf numFmtId="195" fontId="40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 applyProtection="1">
      <alignment vertical="top"/>
      <protection locked="0"/>
    </xf>
    <xf numFmtId="194" fontId="40" fillId="0" borderId="12" xfId="0" applyNumberFormat="1" applyFont="1" applyFill="1" applyBorder="1" applyAlignment="1">
      <alignment/>
    </xf>
    <xf numFmtId="1" fontId="40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0" fillId="0" borderId="13" xfId="0" applyNumberFormat="1" applyFont="1" applyFill="1" applyBorder="1" applyAlignment="1">
      <alignment/>
    </xf>
    <xf numFmtId="1" fontId="40" fillId="0" borderId="14" xfId="0" applyNumberFormat="1" applyFont="1" applyFill="1" applyBorder="1" applyAlignment="1">
      <alignment/>
    </xf>
    <xf numFmtId="195" fontId="40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 horizontal="right"/>
    </xf>
    <xf numFmtId="194" fontId="4" fillId="0" borderId="12" xfId="0" applyNumberFormat="1" applyFont="1" applyFill="1" applyBorder="1" applyAlignment="1">
      <alignment horizontal="right"/>
    </xf>
    <xf numFmtId="196" fontId="4" fillId="0" borderId="12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/>
    </xf>
    <xf numFmtId="0" fontId="40" fillId="0" borderId="18" xfId="0" applyFont="1" applyFill="1" applyBorder="1" applyAlignment="1">
      <alignment horizontal="center" vertical="center"/>
    </xf>
    <xf numFmtId="1" fontId="40" fillId="0" borderId="19" xfId="0" applyNumberFormat="1" applyFont="1" applyFill="1" applyBorder="1" applyAlignment="1">
      <alignment horizontal="center" vertical="center"/>
    </xf>
    <xf numFmtId="1" fontId="40" fillId="0" borderId="20" xfId="0" applyNumberFormat="1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92" fontId="40" fillId="0" borderId="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1" fontId="40" fillId="0" borderId="25" xfId="0" applyNumberFormat="1" applyFont="1" applyFill="1" applyBorder="1" applyAlignment="1">
      <alignment/>
    </xf>
    <xf numFmtId="192" fontId="40" fillId="0" borderId="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192" fontId="4" fillId="0" borderId="0" xfId="0" applyNumberFormat="1" applyFont="1" applyFill="1" applyBorder="1" applyAlignment="1" applyProtection="1">
      <alignment horizontal="center" vertical="top"/>
      <protection locked="0"/>
    </xf>
    <xf numFmtId="0" fontId="40" fillId="0" borderId="0" xfId="0" applyFont="1" applyFill="1" applyAlignment="1">
      <alignment horizontal="left"/>
    </xf>
    <xf numFmtId="0" fontId="41" fillId="0" borderId="11" xfId="0" applyFont="1" applyFill="1" applyBorder="1" applyAlignment="1">
      <alignment horizontal="center"/>
    </xf>
    <xf numFmtId="192" fontId="40" fillId="0" borderId="0" xfId="0" applyNumberFormat="1" applyFont="1" applyFill="1" applyBorder="1" applyAlignment="1">
      <alignment/>
    </xf>
    <xf numFmtId="2" fontId="40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3" xfId="0" applyFont="1" applyFill="1" applyBorder="1" applyAlignment="1">
      <alignment/>
    </xf>
    <xf numFmtId="0" fontId="41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0" fillId="0" borderId="12" xfId="0" applyFont="1" applyFill="1" applyBorder="1" applyAlignment="1">
      <alignment/>
    </xf>
    <xf numFmtId="192" fontId="40" fillId="0" borderId="12" xfId="0" applyNumberFormat="1" applyFont="1" applyFill="1" applyBorder="1" applyAlignment="1">
      <alignment horizontal="center"/>
    </xf>
    <xf numFmtId="1" fontId="40" fillId="0" borderId="13" xfId="0" applyNumberFormat="1" applyFont="1" applyFill="1" applyBorder="1" applyAlignment="1">
      <alignment horizontal="center"/>
    </xf>
    <xf numFmtId="1" fontId="40" fillId="0" borderId="12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92" fontId="40" fillId="0" borderId="0" xfId="0" applyNumberFormat="1" applyFont="1" applyFill="1" applyAlignment="1">
      <alignment horizontal="center"/>
    </xf>
    <xf numFmtId="1" fontId="40" fillId="0" borderId="0" xfId="0" applyNumberFormat="1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0" fillId="0" borderId="13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192" fontId="40" fillId="0" borderId="12" xfId="0" applyNumberFormat="1" applyFont="1" applyFill="1" applyBorder="1" applyAlignment="1">
      <alignment horizontal="center" vertical="center"/>
    </xf>
    <xf numFmtId="1" fontId="40" fillId="0" borderId="13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60" applyFont="1" applyFill="1" applyBorder="1">
      <alignment/>
      <protection/>
    </xf>
    <xf numFmtId="0" fontId="40" fillId="0" borderId="16" xfId="60" applyFont="1" applyFill="1" applyBorder="1" applyAlignment="1">
      <alignment horizontal="center" vertical="center"/>
      <protection/>
    </xf>
    <xf numFmtId="204" fontId="40" fillId="0" borderId="16" xfId="60" applyNumberFormat="1" applyFont="1" applyFill="1" applyBorder="1" applyAlignment="1">
      <alignment horizontal="center" vertical="center"/>
      <protection/>
    </xf>
    <xf numFmtId="0" fontId="40" fillId="0" borderId="0" xfId="60" applyFont="1" applyFill="1">
      <alignment/>
      <protection/>
    </xf>
    <xf numFmtId="0" fontId="40" fillId="0" borderId="17" xfId="60" applyFont="1" applyFill="1" applyBorder="1">
      <alignment/>
      <protection/>
    </xf>
    <xf numFmtId="0" fontId="40" fillId="0" borderId="18" xfId="60" applyFont="1" applyFill="1" applyBorder="1" applyAlignment="1">
      <alignment horizontal="center" vertical="center"/>
      <protection/>
    </xf>
    <xf numFmtId="204" fontId="40" fillId="0" borderId="18" xfId="60" applyNumberFormat="1" applyFont="1" applyFill="1" applyBorder="1" applyAlignment="1">
      <alignment horizontal="center" vertical="center"/>
      <protection/>
    </xf>
    <xf numFmtId="0" fontId="40" fillId="0" borderId="19" xfId="60" applyFont="1" applyFill="1" applyBorder="1" applyAlignment="1">
      <alignment horizontal="center" vertical="center"/>
      <protection/>
    </xf>
    <xf numFmtId="0" fontId="40" fillId="0" borderId="20" xfId="60" applyFont="1" applyFill="1" applyBorder="1" applyAlignment="1">
      <alignment horizontal="center" vertical="center"/>
      <protection/>
    </xf>
    <xf numFmtId="0" fontId="40" fillId="0" borderId="21" xfId="60" applyFont="1" applyFill="1" applyBorder="1" applyAlignment="1">
      <alignment horizontal="center" vertical="center"/>
      <protection/>
    </xf>
    <xf numFmtId="0" fontId="40" fillId="0" borderId="22" xfId="60" applyFont="1" applyFill="1" applyBorder="1" applyAlignment="1">
      <alignment horizontal="center" vertical="center"/>
      <protection/>
    </xf>
    <xf numFmtId="0" fontId="40" fillId="0" borderId="23" xfId="60" applyFont="1" applyFill="1" applyBorder="1" applyAlignment="1">
      <alignment horizontal="center" vertical="center"/>
      <protection/>
    </xf>
    <xf numFmtId="0" fontId="40" fillId="0" borderId="26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0" fillId="0" borderId="24" xfId="60" applyFont="1" applyFill="1" applyBorder="1" applyAlignment="1">
      <alignment horizontal="center" vertical="center"/>
      <protection/>
    </xf>
    <xf numFmtId="0" fontId="40" fillId="0" borderId="0" xfId="60" applyFont="1" applyFill="1" applyAlignment="1">
      <alignment vertical="center"/>
      <protection/>
    </xf>
    <xf numFmtId="0" fontId="40" fillId="0" borderId="10" xfId="60" applyFont="1" applyFill="1" applyBorder="1">
      <alignment/>
      <protection/>
    </xf>
    <xf numFmtId="0" fontId="40" fillId="0" borderId="0" xfId="60" applyFont="1" applyFill="1" applyBorder="1">
      <alignment/>
      <protection/>
    </xf>
    <xf numFmtId="0" fontId="40" fillId="0" borderId="11" xfId="60" applyFont="1" applyFill="1" applyBorder="1">
      <alignment/>
      <protection/>
    </xf>
    <xf numFmtId="0" fontId="41" fillId="0" borderId="10" xfId="60" applyFont="1" applyFill="1" applyBorder="1">
      <alignment/>
      <protection/>
    </xf>
    <xf numFmtId="204" fontId="40" fillId="0" borderId="0" xfId="60" applyNumberFormat="1" applyFont="1" applyFill="1" applyBorder="1">
      <alignment/>
      <protection/>
    </xf>
    <xf numFmtId="204" fontId="4" fillId="0" borderId="0" xfId="60" applyNumberFormat="1" applyFont="1" applyFill="1" applyBorder="1" applyAlignment="1" applyProtection="1">
      <alignment vertical="top"/>
      <protection locked="0"/>
    </xf>
    <xf numFmtId="192" fontId="40" fillId="0" borderId="0" xfId="60" applyNumberFormat="1" applyFont="1" applyFill="1" applyBorder="1">
      <alignment/>
      <protection/>
    </xf>
    <xf numFmtId="193" fontId="40" fillId="0" borderId="0" xfId="60" applyNumberFormat="1" applyFont="1" applyFill="1" applyBorder="1">
      <alignment/>
      <protection/>
    </xf>
    <xf numFmtId="194" fontId="40" fillId="0" borderId="10" xfId="60" applyNumberFormat="1" applyFont="1" applyFill="1" applyBorder="1">
      <alignment/>
      <protection/>
    </xf>
    <xf numFmtId="194" fontId="40" fillId="0" borderId="0" xfId="60" applyNumberFormat="1" applyFont="1" applyFill="1" applyBorder="1">
      <alignment/>
      <protection/>
    </xf>
    <xf numFmtId="1" fontId="40" fillId="0" borderId="0" xfId="60" applyNumberFormat="1" applyFont="1" applyFill="1" applyBorder="1">
      <alignment/>
      <protection/>
    </xf>
    <xf numFmtId="1" fontId="4" fillId="0" borderId="11" xfId="60" applyNumberFormat="1" applyFont="1" applyFill="1" applyBorder="1">
      <alignment/>
      <protection/>
    </xf>
    <xf numFmtId="1" fontId="40" fillId="0" borderId="10" xfId="60" applyNumberFormat="1" applyFont="1" applyFill="1" applyBorder="1">
      <alignment/>
      <protection/>
    </xf>
    <xf numFmtId="1" fontId="40" fillId="0" borderId="11" xfId="60" applyNumberFormat="1" applyFont="1" applyFill="1" applyBorder="1">
      <alignment/>
      <protection/>
    </xf>
    <xf numFmtId="195" fontId="40" fillId="0" borderId="10" xfId="60" applyNumberFormat="1" applyFont="1" applyFill="1" applyBorder="1">
      <alignment/>
      <protection/>
    </xf>
    <xf numFmtId="195" fontId="4" fillId="0" borderId="0" xfId="60" applyNumberFormat="1" applyFont="1" applyFill="1" applyBorder="1" applyAlignment="1">
      <alignment horizontal="right"/>
      <protection/>
    </xf>
    <xf numFmtId="194" fontId="4" fillId="0" borderId="0" xfId="60" applyNumberFormat="1" applyFont="1" applyFill="1" applyBorder="1" applyAlignment="1">
      <alignment horizontal="right"/>
      <protection/>
    </xf>
    <xf numFmtId="196" fontId="4" fillId="0" borderId="0" xfId="60" applyNumberFormat="1" applyFont="1" applyFill="1" applyBorder="1" applyAlignment="1">
      <alignment horizontal="right"/>
      <protection/>
    </xf>
    <xf numFmtId="194" fontId="4" fillId="0" borderId="11" xfId="60" applyNumberFormat="1" applyFont="1" applyFill="1" applyBorder="1" applyAlignment="1">
      <alignment horizontal="right"/>
      <protection/>
    </xf>
    <xf numFmtId="1" fontId="40" fillId="0" borderId="25" xfId="60" applyNumberFormat="1" applyFont="1" applyFill="1" applyBorder="1">
      <alignment/>
      <protection/>
    </xf>
    <xf numFmtId="195" fontId="40" fillId="0" borderId="0" xfId="60" applyNumberFormat="1" applyFont="1" applyFill="1" applyBorder="1">
      <alignment/>
      <protection/>
    </xf>
    <xf numFmtId="0" fontId="5" fillId="0" borderId="1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1" fontId="5" fillId="0" borderId="11" xfId="60" applyNumberFormat="1" applyFont="1" applyFill="1" applyBorder="1" applyAlignment="1">
      <alignment horizontal="center"/>
      <protection/>
    </xf>
    <xf numFmtId="0" fontId="40" fillId="0" borderId="13" xfId="60" applyFont="1" applyFill="1" applyBorder="1">
      <alignment/>
      <protection/>
    </xf>
    <xf numFmtId="0" fontId="40" fillId="0" borderId="12" xfId="60" applyFont="1" applyFill="1" applyBorder="1">
      <alignment/>
      <protection/>
    </xf>
    <xf numFmtId="0" fontId="40" fillId="0" borderId="14" xfId="60" applyFont="1" applyFill="1" applyBorder="1">
      <alignment/>
      <protection/>
    </xf>
    <xf numFmtId="0" fontId="41" fillId="0" borderId="13" xfId="60" applyFont="1" applyFill="1" applyBorder="1">
      <alignment/>
      <protection/>
    </xf>
    <xf numFmtId="204" fontId="40" fillId="0" borderId="12" xfId="60" applyNumberFormat="1" applyFont="1" applyFill="1" applyBorder="1">
      <alignment/>
      <protection/>
    </xf>
    <xf numFmtId="204" fontId="4" fillId="0" borderId="12" xfId="60" applyNumberFormat="1" applyFont="1" applyFill="1" applyBorder="1" applyAlignment="1" applyProtection="1">
      <alignment vertical="top"/>
      <protection locked="0"/>
    </xf>
    <xf numFmtId="192" fontId="40" fillId="0" borderId="12" xfId="60" applyNumberFormat="1" applyFont="1" applyFill="1" applyBorder="1">
      <alignment/>
      <protection/>
    </xf>
    <xf numFmtId="193" fontId="40" fillId="0" borderId="12" xfId="60" applyNumberFormat="1" applyFont="1" applyFill="1" applyBorder="1">
      <alignment/>
      <protection/>
    </xf>
    <xf numFmtId="194" fontId="40" fillId="0" borderId="13" xfId="60" applyNumberFormat="1" applyFont="1" applyFill="1" applyBorder="1">
      <alignment/>
      <protection/>
    </xf>
    <xf numFmtId="194" fontId="40" fillId="0" borderId="12" xfId="60" applyNumberFormat="1" applyFont="1" applyFill="1" applyBorder="1">
      <alignment/>
      <protection/>
    </xf>
    <xf numFmtId="1" fontId="40" fillId="0" borderId="12" xfId="60" applyNumberFormat="1" applyFont="1" applyFill="1" applyBorder="1">
      <alignment/>
      <protection/>
    </xf>
    <xf numFmtId="1" fontId="4" fillId="0" borderId="14" xfId="60" applyNumberFormat="1" applyFont="1" applyFill="1" applyBorder="1">
      <alignment/>
      <protection/>
    </xf>
    <xf numFmtId="1" fontId="40" fillId="0" borderId="13" xfId="60" applyNumberFormat="1" applyFont="1" applyFill="1" applyBorder="1">
      <alignment/>
      <protection/>
    </xf>
    <xf numFmtId="1" fontId="40" fillId="0" borderId="14" xfId="60" applyNumberFormat="1" applyFont="1" applyFill="1" applyBorder="1">
      <alignment/>
      <protection/>
    </xf>
    <xf numFmtId="195" fontId="40" fillId="0" borderId="13" xfId="60" applyNumberFormat="1" applyFont="1" applyFill="1" applyBorder="1">
      <alignment/>
      <protection/>
    </xf>
    <xf numFmtId="195" fontId="4" fillId="0" borderId="12" xfId="60" applyNumberFormat="1" applyFont="1" applyFill="1" applyBorder="1" applyAlignment="1">
      <alignment horizontal="right"/>
      <protection/>
    </xf>
    <xf numFmtId="194" fontId="4" fillId="0" borderId="12" xfId="60" applyNumberFormat="1" applyFont="1" applyFill="1" applyBorder="1" applyAlignment="1">
      <alignment horizontal="right"/>
      <protection/>
    </xf>
    <xf numFmtId="196" fontId="4" fillId="0" borderId="12" xfId="60" applyNumberFormat="1" applyFont="1" applyFill="1" applyBorder="1" applyAlignment="1">
      <alignment horizontal="right"/>
      <protection/>
    </xf>
    <xf numFmtId="194" fontId="4" fillId="0" borderId="14" xfId="60" applyNumberFormat="1" applyFont="1" applyFill="1" applyBorder="1" applyAlignment="1">
      <alignment horizontal="right"/>
      <protection/>
    </xf>
    <xf numFmtId="195" fontId="40" fillId="0" borderId="12" xfId="60" applyNumberFormat="1" applyFont="1" applyFill="1" applyBorder="1">
      <alignment/>
      <protection/>
    </xf>
    <xf numFmtId="1" fontId="5" fillId="0" borderId="14" xfId="60" applyNumberFormat="1" applyFont="1" applyFill="1" applyBorder="1" applyAlignment="1">
      <alignment horizontal="center"/>
      <protection/>
    </xf>
    <xf numFmtId="1" fontId="4" fillId="0" borderId="0" xfId="60" applyNumberFormat="1" applyFont="1" applyFill="1" applyBorder="1">
      <alignment/>
      <protection/>
    </xf>
    <xf numFmtId="204" fontId="40" fillId="0" borderId="0" xfId="60" applyNumberFormat="1" applyFont="1" applyFill="1">
      <alignment/>
      <protection/>
    </xf>
    <xf numFmtId="0" fontId="4" fillId="0" borderId="10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4" fillId="0" borderId="11" xfId="60" applyFont="1" applyFill="1" applyBorder="1">
      <alignment/>
      <protection/>
    </xf>
    <xf numFmtId="204" fontId="4" fillId="0" borderId="0" xfId="60" applyNumberFormat="1" applyFont="1" applyFill="1" applyBorder="1">
      <alignment/>
      <protection/>
    </xf>
    <xf numFmtId="192" fontId="4" fillId="0" borderId="0" xfId="60" applyNumberFormat="1" applyFont="1" applyFill="1" applyBorder="1">
      <alignment/>
      <protection/>
    </xf>
    <xf numFmtId="193" fontId="4" fillId="0" borderId="0" xfId="60" applyNumberFormat="1" applyFont="1" applyFill="1" applyBorder="1">
      <alignment/>
      <protection/>
    </xf>
    <xf numFmtId="194" fontId="4" fillId="0" borderId="10" xfId="60" applyNumberFormat="1" applyFont="1" applyFill="1" applyBorder="1">
      <alignment/>
      <protection/>
    </xf>
    <xf numFmtId="194" fontId="4" fillId="0" borderId="0" xfId="60" applyNumberFormat="1" applyFont="1" applyFill="1" applyBorder="1">
      <alignment/>
      <protection/>
    </xf>
    <xf numFmtId="1" fontId="4" fillId="0" borderId="10" xfId="60" applyNumberFormat="1" applyFont="1" applyFill="1" applyBorder="1">
      <alignment/>
      <protection/>
    </xf>
    <xf numFmtId="195" fontId="4" fillId="0" borderId="10" xfId="60" applyNumberFormat="1" applyFont="1" applyFill="1" applyBorder="1">
      <alignment/>
      <protection/>
    </xf>
    <xf numFmtId="195" fontId="4" fillId="0" borderId="0" xfId="60" applyNumberFormat="1" applyFont="1" applyFill="1" applyBorder="1">
      <alignment/>
      <protection/>
    </xf>
    <xf numFmtId="1" fontId="4" fillId="0" borderId="11" xfId="60" applyNumberFormat="1" applyFont="1" applyFill="1" applyBorder="1" applyAlignment="1">
      <alignment horizontal="center"/>
      <protection/>
    </xf>
    <xf numFmtId="0" fontId="4" fillId="0" borderId="0" xfId="60" applyFont="1" applyFill="1">
      <alignment/>
      <protection/>
    </xf>
    <xf numFmtId="0" fontId="4" fillId="0" borderId="13" xfId="60" applyFont="1" applyFill="1" applyBorder="1">
      <alignment/>
      <protection/>
    </xf>
    <xf numFmtId="0" fontId="4" fillId="0" borderId="12" xfId="60" applyFont="1" applyFill="1" applyBorder="1">
      <alignment/>
      <protection/>
    </xf>
    <xf numFmtId="0" fontId="4" fillId="0" borderId="14" xfId="60" applyFont="1" applyFill="1" applyBorder="1">
      <alignment/>
      <protection/>
    </xf>
    <xf numFmtId="204" fontId="4" fillId="0" borderId="12" xfId="60" applyNumberFormat="1" applyFont="1" applyFill="1" applyBorder="1">
      <alignment/>
      <protection/>
    </xf>
    <xf numFmtId="192" fontId="4" fillId="0" borderId="12" xfId="60" applyNumberFormat="1" applyFont="1" applyFill="1" applyBorder="1">
      <alignment/>
      <protection/>
    </xf>
    <xf numFmtId="193" fontId="4" fillId="0" borderId="12" xfId="60" applyNumberFormat="1" applyFont="1" applyFill="1" applyBorder="1">
      <alignment/>
      <protection/>
    </xf>
    <xf numFmtId="194" fontId="4" fillId="0" borderId="13" xfId="60" applyNumberFormat="1" applyFont="1" applyFill="1" applyBorder="1">
      <alignment/>
      <protection/>
    </xf>
    <xf numFmtId="194" fontId="4" fillId="0" borderId="12" xfId="60" applyNumberFormat="1" applyFont="1" applyFill="1" applyBorder="1">
      <alignment/>
      <protection/>
    </xf>
    <xf numFmtId="1" fontId="4" fillId="0" borderId="12" xfId="60" applyNumberFormat="1" applyFont="1" applyFill="1" applyBorder="1">
      <alignment/>
      <protection/>
    </xf>
    <xf numFmtId="1" fontId="4" fillId="0" borderId="13" xfId="60" applyNumberFormat="1" applyFont="1" applyFill="1" applyBorder="1">
      <alignment/>
      <protection/>
    </xf>
    <xf numFmtId="195" fontId="4" fillId="0" borderId="13" xfId="60" applyNumberFormat="1" applyFont="1" applyFill="1" applyBorder="1">
      <alignment/>
      <protection/>
    </xf>
    <xf numFmtId="195" fontId="4" fillId="0" borderId="12" xfId="60" applyNumberFormat="1" applyFont="1" applyFill="1" applyBorder="1">
      <alignment/>
      <protection/>
    </xf>
    <xf numFmtId="1" fontId="4" fillId="0" borderId="14" xfId="60" applyNumberFormat="1" applyFont="1" applyFill="1" applyBorder="1" applyAlignment="1">
      <alignment horizontal="center"/>
      <protection/>
    </xf>
    <xf numFmtId="0" fontId="40" fillId="0" borderId="27" xfId="60" applyFont="1" applyFill="1" applyBorder="1">
      <alignment/>
      <protection/>
    </xf>
    <xf numFmtId="0" fontId="40" fillId="0" borderId="0" xfId="60" applyFont="1" applyFill="1" applyAlignment="1">
      <alignment horizontal="center"/>
      <protection/>
    </xf>
    <xf numFmtId="0" fontId="5" fillId="0" borderId="11" xfId="60" applyFont="1" applyFill="1" applyBorder="1">
      <alignment/>
      <protection/>
    </xf>
    <xf numFmtId="1" fontId="42" fillId="0" borderId="0" xfId="60" applyNumberFormat="1" applyFont="1" applyFill="1" applyBorder="1">
      <alignment/>
      <protection/>
    </xf>
    <xf numFmtId="0" fontId="40" fillId="0" borderId="0" xfId="60" applyFont="1" applyFill="1" applyBorder="1" applyAlignment="1">
      <alignment horizontal="center"/>
      <protection/>
    </xf>
    <xf numFmtId="2" fontId="4" fillId="0" borderId="0" xfId="60" applyNumberFormat="1" applyFont="1" applyFill="1" applyBorder="1" applyAlignment="1" applyProtection="1">
      <alignment vertical="top"/>
      <protection locked="0"/>
    </xf>
    <xf numFmtId="0" fontId="40" fillId="0" borderId="12" xfId="60" applyFont="1" applyFill="1" applyBorder="1" applyAlignment="1">
      <alignment horizontal="center"/>
      <protection/>
    </xf>
    <xf numFmtId="2" fontId="4" fillId="0" borderId="12" xfId="60" applyNumberFormat="1" applyFont="1" applyFill="1" applyBorder="1" applyAlignment="1" applyProtection="1">
      <alignment vertical="top"/>
      <protection locked="0"/>
    </xf>
    <xf numFmtId="1" fontId="42" fillId="0" borderId="10" xfId="60" applyNumberFormat="1" applyFont="1" applyFill="1" applyBorder="1">
      <alignment/>
      <protection/>
    </xf>
    <xf numFmtId="1" fontId="42" fillId="0" borderId="11" xfId="60" applyNumberFormat="1" applyFont="1" applyFill="1" applyBorder="1">
      <alignment/>
      <protection/>
    </xf>
    <xf numFmtId="0" fontId="40" fillId="0" borderId="15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textRotation="90"/>
    </xf>
    <xf numFmtId="0" fontId="40" fillId="0" borderId="30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 textRotation="90"/>
    </xf>
    <xf numFmtId="0" fontId="40" fillId="0" borderId="31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92" fontId="40" fillId="0" borderId="33" xfId="0" applyNumberFormat="1" applyFont="1" applyFill="1" applyBorder="1" applyAlignment="1">
      <alignment horizontal="center" vertical="center" wrapText="1"/>
    </xf>
    <xf numFmtId="192" fontId="40" fillId="0" borderId="20" xfId="0" applyNumberFormat="1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5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0" fontId="40" fillId="0" borderId="38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  <xf numFmtId="1" fontId="40" fillId="0" borderId="32" xfId="0" applyNumberFormat="1" applyFont="1" applyFill="1" applyBorder="1" applyAlignment="1">
      <alignment horizontal="center" wrapText="1"/>
    </xf>
    <xf numFmtId="1" fontId="40" fillId="0" borderId="33" xfId="0" applyNumberFormat="1" applyFont="1" applyFill="1" applyBorder="1" applyAlignment="1">
      <alignment horizontal="center" wrapText="1"/>
    </xf>
    <xf numFmtId="1" fontId="40" fillId="0" borderId="37" xfId="0" applyNumberFormat="1" applyFont="1" applyFill="1" applyBorder="1" applyAlignment="1">
      <alignment horizontal="center" vertical="center" wrapText="1"/>
    </xf>
    <xf numFmtId="1" fontId="40" fillId="0" borderId="16" xfId="0" applyNumberFormat="1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/>
    </xf>
    <xf numFmtId="0" fontId="40" fillId="0" borderId="35" xfId="0" applyFont="1" applyFill="1" applyBorder="1" applyAlignment="1">
      <alignment vertical="center"/>
    </xf>
    <xf numFmtId="0" fontId="40" fillId="0" borderId="34" xfId="60" applyFont="1" applyFill="1" applyBorder="1" applyAlignment="1">
      <alignment horizontal="center" vertical="center" wrapText="1"/>
      <protection/>
    </xf>
    <xf numFmtId="0" fontId="40" fillId="0" borderId="35" xfId="60" applyFont="1" applyFill="1" applyBorder="1" applyAlignment="1">
      <alignment horizontal="center" vertical="center" wrapText="1"/>
      <protection/>
    </xf>
    <xf numFmtId="0" fontId="40" fillId="0" borderId="36" xfId="60" applyFont="1" applyFill="1" applyBorder="1" applyAlignment="1">
      <alignment horizontal="center" vertical="center" wrapText="1"/>
      <protection/>
    </xf>
    <xf numFmtId="0" fontId="40" fillId="0" borderId="32" xfId="60" applyFont="1" applyFill="1" applyBorder="1" applyAlignment="1">
      <alignment horizontal="center" vertical="center" wrapText="1"/>
      <protection/>
    </xf>
    <xf numFmtId="0" fontId="40" fillId="0" borderId="38" xfId="60" applyFont="1" applyFill="1" applyBorder="1" applyAlignment="1">
      <alignment horizontal="center" vertical="center"/>
      <protection/>
    </xf>
    <xf numFmtId="0" fontId="40" fillId="0" borderId="34" xfId="60" applyFont="1" applyFill="1" applyBorder="1" applyAlignment="1">
      <alignment horizontal="center" vertical="center"/>
      <protection/>
    </xf>
    <xf numFmtId="0" fontId="40" fillId="0" borderId="35" xfId="60" applyFont="1" applyFill="1" applyBorder="1">
      <alignment/>
      <protection/>
    </xf>
    <xf numFmtId="0" fontId="4" fillId="0" borderId="35" xfId="60" applyFont="1" applyFill="1" applyBorder="1" applyAlignment="1">
      <alignment horizontal="center" vertical="center" wrapText="1"/>
      <protection/>
    </xf>
    <xf numFmtId="0" fontId="40" fillId="0" borderId="38" xfId="60" applyFont="1" applyFill="1" applyBorder="1" applyAlignment="1">
      <alignment horizontal="center" vertical="center" wrapText="1"/>
      <protection/>
    </xf>
    <xf numFmtId="0" fontId="40" fillId="0" borderId="22" xfId="60" applyFont="1" applyFill="1" applyBorder="1" applyAlignment="1">
      <alignment vertical="center"/>
      <protection/>
    </xf>
    <xf numFmtId="0" fontId="40" fillId="0" borderId="32" xfId="60" applyFont="1" applyFill="1" applyBorder="1" applyAlignment="1">
      <alignment horizontal="center" wrapText="1"/>
      <protection/>
    </xf>
    <xf numFmtId="0" fontId="40" fillId="0" borderId="33" xfId="60" applyFont="1" applyFill="1" applyBorder="1" applyAlignment="1">
      <alignment horizontal="center" wrapText="1"/>
      <protection/>
    </xf>
    <xf numFmtId="0" fontId="40" fillId="0" borderId="37" xfId="60" applyFont="1" applyFill="1" applyBorder="1" applyAlignment="1">
      <alignment horizontal="center" vertical="center" wrapText="1"/>
      <protection/>
    </xf>
    <xf numFmtId="0" fontId="40" fillId="0" borderId="16" xfId="60" applyFont="1" applyFill="1" applyBorder="1" applyAlignment="1">
      <alignment horizontal="center" vertical="center" wrapText="1"/>
      <protection/>
    </xf>
    <xf numFmtId="0" fontId="40" fillId="0" borderId="36" xfId="60" applyFont="1" applyFill="1" applyBorder="1">
      <alignment/>
      <protection/>
    </xf>
    <xf numFmtId="0" fontId="40" fillId="0" borderId="35" xfId="60" applyFont="1" applyFill="1" applyBorder="1" applyAlignment="1">
      <alignment vertical="center"/>
      <protection/>
    </xf>
    <xf numFmtId="0" fontId="40" fillId="0" borderId="36" xfId="60" applyFont="1" applyFill="1" applyBorder="1" applyAlignment="1">
      <alignment vertical="center"/>
      <protection/>
    </xf>
    <xf numFmtId="0" fontId="40" fillId="0" borderId="15" xfId="60" applyFont="1" applyFill="1" applyBorder="1" applyAlignment="1">
      <alignment horizontal="center" vertical="center" wrapText="1"/>
      <protection/>
    </xf>
    <xf numFmtId="0" fontId="40" fillId="0" borderId="28" xfId="60" applyFont="1" applyFill="1" applyBorder="1" applyAlignment="1">
      <alignment horizontal="center" vertical="center" wrapText="1"/>
      <protection/>
    </xf>
    <xf numFmtId="0" fontId="40" fillId="0" borderId="29" xfId="60" applyFont="1" applyFill="1" applyBorder="1" applyAlignment="1">
      <alignment horizontal="center" vertical="center" wrapText="1"/>
      <protection/>
    </xf>
    <xf numFmtId="0" fontId="40" fillId="0" borderId="28" xfId="60" applyFont="1" applyFill="1" applyBorder="1" applyAlignment="1">
      <alignment textRotation="90"/>
      <protection/>
    </xf>
    <xf numFmtId="0" fontId="40" fillId="0" borderId="30" xfId="60" applyFont="1" applyFill="1" applyBorder="1">
      <alignment/>
      <protection/>
    </xf>
    <xf numFmtId="0" fontId="40" fillId="0" borderId="29" xfId="60" applyFont="1" applyFill="1" applyBorder="1" applyAlignment="1">
      <alignment textRotation="90"/>
      <protection/>
    </xf>
    <xf numFmtId="0" fontId="40" fillId="0" borderId="31" xfId="60" applyFont="1" applyFill="1" applyBorder="1">
      <alignment/>
      <protection/>
    </xf>
    <xf numFmtId="0" fontId="40" fillId="0" borderId="32" xfId="60" applyFont="1" applyFill="1" applyBorder="1" applyAlignment="1">
      <alignment horizontal="center" vertical="center"/>
      <protection/>
    </xf>
    <xf numFmtId="0" fontId="40" fillId="0" borderId="19" xfId="60" applyFont="1" applyFill="1" applyBorder="1" applyAlignment="1">
      <alignment horizontal="center" vertical="center"/>
      <protection/>
    </xf>
    <xf numFmtId="192" fontId="40" fillId="0" borderId="33" xfId="60" applyNumberFormat="1" applyFont="1" applyFill="1" applyBorder="1" applyAlignment="1">
      <alignment horizontal="center" vertical="center" wrapText="1"/>
      <protection/>
    </xf>
    <xf numFmtId="192" fontId="40" fillId="0" borderId="20" xfId="60" applyNumberFormat="1" applyFont="1" applyFill="1" applyBorder="1" applyAlignment="1">
      <alignment vertical="center"/>
      <protection/>
    </xf>
    <xf numFmtId="193" fontId="40" fillId="0" borderId="33" xfId="60" applyNumberFormat="1" applyFont="1" applyFill="1" applyBorder="1" applyAlignment="1">
      <alignment horizontal="center" vertical="center" wrapText="1"/>
      <protection/>
    </xf>
    <xf numFmtId="193" fontId="40" fillId="0" borderId="20" xfId="60" applyNumberFormat="1" applyFont="1" applyFill="1" applyBorder="1" applyAlignment="1">
      <alignment vertical="center"/>
      <protection/>
    </xf>
    <xf numFmtId="0" fontId="40" fillId="0" borderId="37" xfId="60" applyFont="1" applyFill="1" applyBorder="1" applyAlignment="1">
      <alignment horizontal="center" vertical="center"/>
      <protection/>
    </xf>
    <xf numFmtId="0" fontId="40" fillId="0" borderId="33" xfId="60" applyFont="1" applyFill="1" applyBorder="1" applyAlignment="1">
      <alignment horizontal="center" vertical="center" wrapText="1"/>
      <protection/>
    </xf>
    <xf numFmtId="0" fontId="40" fillId="0" borderId="20" xfId="60" applyFont="1" applyFill="1" applyBorder="1" applyAlignment="1">
      <alignment vertical="center"/>
      <protection/>
    </xf>
    <xf numFmtId="0" fontId="43" fillId="0" borderId="10" xfId="60" applyFont="1" applyFill="1" applyBorder="1">
      <alignment/>
      <protection/>
    </xf>
    <xf numFmtId="0" fontId="43" fillId="0" borderId="0" xfId="60" applyFont="1" applyFill="1" applyBorder="1">
      <alignment/>
      <protection/>
    </xf>
    <xf numFmtId="1" fontId="43" fillId="0" borderId="10" xfId="60" applyNumberFormat="1" applyFont="1" applyFill="1" applyBorder="1">
      <alignment/>
      <protection/>
    </xf>
    <xf numFmtId="1" fontId="43" fillId="0" borderId="0" xfId="60" applyNumberFormat="1" applyFont="1" applyFill="1" applyBorder="1">
      <alignment/>
      <protection/>
    </xf>
    <xf numFmtId="1" fontId="43" fillId="0" borderId="11" xfId="60" applyNumberFormat="1" applyFont="1" applyFill="1" applyBorder="1">
      <alignment/>
      <protection/>
    </xf>
    <xf numFmtId="196" fontId="43" fillId="0" borderId="0" xfId="60" applyNumberFormat="1" applyFont="1" applyFill="1" applyBorder="1" applyAlignment="1">
      <alignment horizontal="right"/>
      <protection/>
    </xf>
    <xf numFmtId="195" fontId="43" fillId="0" borderId="0" xfId="60" applyNumberFormat="1" applyFont="1" applyFill="1" applyBorder="1">
      <alignment/>
      <protection/>
    </xf>
    <xf numFmtId="0" fontId="43" fillId="0" borderId="10" xfId="60" applyFont="1" applyFill="1" applyBorder="1" applyAlignment="1">
      <alignment vertical="center"/>
      <protection/>
    </xf>
    <xf numFmtId="0" fontId="43" fillId="0" borderId="11" xfId="60" applyFont="1" applyFill="1" applyBorder="1" applyAlignment="1">
      <alignment vertical="center"/>
      <protection/>
    </xf>
    <xf numFmtId="0" fontId="43" fillId="0" borderId="13" xfId="60" applyFont="1" applyFill="1" applyBorder="1" applyAlignment="1">
      <alignment vertical="center"/>
      <protection/>
    </xf>
    <xf numFmtId="0" fontId="43" fillId="0" borderId="14" xfId="60" applyFont="1" applyFill="1" applyBorder="1" applyAlignment="1">
      <alignment vertical="center"/>
      <protection/>
    </xf>
    <xf numFmtId="1" fontId="43" fillId="0" borderId="13" xfId="60" applyNumberFormat="1" applyFont="1" applyFill="1" applyBorder="1">
      <alignment/>
      <protection/>
    </xf>
    <xf numFmtId="1" fontId="43" fillId="0" borderId="12" xfId="60" applyNumberFormat="1" applyFont="1" applyFill="1" applyBorder="1">
      <alignment/>
      <protection/>
    </xf>
    <xf numFmtId="1" fontId="43" fillId="0" borderId="14" xfId="60" applyNumberFormat="1" applyFont="1" applyFill="1" applyBorder="1">
      <alignment/>
      <protection/>
    </xf>
    <xf numFmtId="0" fontId="4" fillId="0" borderId="10" xfId="60" applyFont="1" applyFill="1" applyBorder="1" applyAlignment="1">
      <alignment vertical="center"/>
      <protection/>
    </xf>
    <xf numFmtId="0" fontId="4" fillId="0" borderId="11" xfId="60" applyFont="1" applyFill="1" applyBorder="1" applyAlignment="1">
      <alignment vertical="center"/>
      <protection/>
    </xf>
    <xf numFmtId="0" fontId="43" fillId="0" borderId="10" xfId="61" applyFont="1" applyFill="1" applyBorder="1">
      <alignment vertical="center"/>
      <protection/>
    </xf>
    <xf numFmtId="0" fontId="43" fillId="0" borderId="11" xfId="61" applyFont="1" applyFill="1" applyBorder="1">
      <alignment vertical="center"/>
      <protection/>
    </xf>
    <xf numFmtId="0" fontId="43" fillId="0" borderId="0" xfId="60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zoomScale="45" zoomScaleNormal="45" zoomScalePageLayoutView="130" workbookViewId="0" topLeftCell="A1">
      <selection activeCell="AJ6" sqref="AJ6"/>
    </sheetView>
  </sheetViews>
  <sheetFormatPr defaultColWidth="12.50390625" defaultRowHeight="15.75"/>
  <cols>
    <col min="1" max="1" width="6.00390625" style="18" customWidth="1"/>
    <col min="2" max="4" width="3.50390625" style="72" customWidth="1"/>
    <col min="5" max="6" width="12.50390625" style="72" customWidth="1"/>
    <col min="7" max="7" width="9.875" style="18" customWidth="1"/>
    <col min="8" max="8" width="13.125" style="18" customWidth="1"/>
    <col min="9" max="9" width="9.875" style="18" customWidth="1"/>
    <col min="10" max="11" width="9.875" style="73" customWidth="1"/>
    <col min="12" max="12" width="9.875" style="72" customWidth="1"/>
    <col min="13" max="16" width="7.875" style="74" customWidth="1"/>
    <col min="17" max="18" width="7.875" style="18" customWidth="1"/>
    <col min="19" max="28" width="6.875" style="18" customWidth="1"/>
    <col min="29" max="29" width="8.125" style="18" customWidth="1"/>
    <col min="30" max="34" width="6.875" style="18" customWidth="1"/>
    <col min="35" max="36" width="7.875" style="18" customWidth="1"/>
    <col min="37" max="38" width="7.875" style="81" customWidth="1"/>
    <col min="39" max="44" width="7.875" style="18" customWidth="1"/>
    <col min="45" max="45" width="9.875" style="18" customWidth="1"/>
    <col min="46" max="46" width="9.00390625" style="18" customWidth="1"/>
    <col min="47" max="16384" width="12.50390625" style="18" customWidth="1"/>
  </cols>
  <sheetData>
    <row r="1" spans="1:45" ht="27" customHeight="1">
      <c r="A1" s="30"/>
      <c r="B1" s="190" t="s">
        <v>0</v>
      </c>
      <c r="C1" s="190" t="s">
        <v>1</v>
      </c>
      <c r="D1" s="192" t="s">
        <v>2</v>
      </c>
      <c r="E1" s="194" t="s">
        <v>3</v>
      </c>
      <c r="F1" s="31" t="s">
        <v>52</v>
      </c>
      <c r="G1" s="31" t="s">
        <v>4</v>
      </c>
      <c r="H1" s="31" t="s">
        <v>5</v>
      </c>
      <c r="I1" s="31" t="s">
        <v>6</v>
      </c>
      <c r="J1" s="196" t="s">
        <v>7</v>
      </c>
      <c r="K1" s="196" t="s">
        <v>8</v>
      </c>
      <c r="L1" s="206" t="s">
        <v>9</v>
      </c>
      <c r="M1" s="208" t="s">
        <v>10</v>
      </c>
      <c r="N1" s="209"/>
      <c r="O1" s="210" t="s">
        <v>11</v>
      </c>
      <c r="P1" s="211"/>
      <c r="Q1" s="212" t="s">
        <v>12</v>
      </c>
      <c r="R1" s="213"/>
      <c r="S1" s="199" t="s">
        <v>13</v>
      </c>
      <c r="T1" s="214"/>
      <c r="U1" s="214"/>
      <c r="V1" s="214"/>
      <c r="W1" s="214"/>
      <c r="X1" s="187" t="s">
        <v>14</v>
      </c>
      <c r="Y1" s="188"/>
      <c r="Z1" s="189"/>
      <c r="AA1" s="198" t="s">
        <v>15</v>
      </c>
      <c r="AB1" s="199"/>
      <c r="AC1" s="199"/>
      <c r="AD1" s="199"/>
      <c r="AE1" s="199"/>
      <c r="AF1" s="199"/>
      <c r="AG1" s="199"/>
      <c r="AH1" s="200"/>
      <c r="AI1" s="201" t="s">
        <v>16</v>
      </c>
      <c r="AJ1" s="202"/>
      <c r="AK1" s="203" t="s">
        <v>17</v>
      </c>
      <c r="AL1" s="204"/>
      <c r="AM1" s="198" t="s">
        <v>18</v>
      </c>
      <c r="AN1" s="199"/>
      <c r="AO1" s="200"/>
      <c r="AP1" s="205" t="s">
        <v>19</v>
      </c>
      <c r="AQ1" s="199"/>
      <c r="AR1" s="199"/>
      <c r="AS1" s="200"/>
    </row>
    <row r="2" spans="1:46" ht="18" customHeight="1">
      <c r="A2" s="32" t="s">
        <v>20</v>
      </c>
      <c r="B2" s="191"/>
      <c r="C2" s="191"/>
      <c r="D2" s="193"/>
      <c r="E2" s="195"/>
      <c r="F2" s="33" t="s">
        <v>53</v>
      </c>
      <c r="G2" s="33" t="s">
        <v>97</v>
      </c>
      <c r="H2" s="33" t="s">
        <v>97</v>
      </c>
      <c r="I2" s="33" t="s">
        <v>97</v>
      </c>
      <c r="J2" s="197"/>
      <c r="K2" s="197"/>
      <c r="L2" s="207"/>
      <c r="M2" s="34" t="s">
        <v>21</v>
      </c>
      <c r="N2" s="35" t="s">
        <v>22</v>
      </c>
      <c r="O2" s="35" t="s">
        <v>21</v>
      </c>
      <c r="P2" s="35" t="s">
        <v>22</v>
      </c>
      <c r="Q2" s="36" t="s">
        <v>23</v>
      </c>
      <c r="R2" s="37" t="s">
        <v>24</v>
      </c>
      <c r="S2" s="33" t="s">
        <v>25</v>
      </c>
      <c r="T2" s="33" t="s">
        <v>26</v>
      </c>
      <c r="U2" s="38" t="s">
        <v>27</v>
      </c>
      <c r="V2" s="33" t="s">
        <v>21</v>
      </c>
      <c r="W2" s="36" t="s">
        <v>22</v>
      </c>
      <c r="X2" s="39" t="s">
        <v>28</v>
      </c>
      <c r="Y2" s="40" t="s">
        <v>29</v>
      </c>
      <c r="Z2" s="37" t="s">
        <v>22</v>
      </c>
      <c r="AA2" s="36" t="s">
        <v>30</v>
      </c>
      <c r="AB2" s="36" t="s">
        <v>31</v>
      </c>
      <c r="AC2" s="36" t="s">
        <v>25</v>
      </c>
      <c r="AD2" s="36" t="s">
        <v>26</v>
      </c>
      <c r="AE2" s="36" t="s">
        <v>27</v>
      </c>
      <c r="AF2" s="36" t="s">
        <v>32</v>
      </c>
      <c r="AG2" s="41" t="s">
        <v>33</v>
      </c>
      <c r="AH2" s="37" t="s">
        <v>34</v>
      </c>
      <c r="AI2" s="39" t="s">
        <v>35</v>
      </c>
      <c r="AJ2" s="36" t="s">
        <v>36</v>
      </c>
      <c r="AK2" s="75" t="s">
        <v>37</v>
      </c>
      <c r="AL2" s="76" t="s">
        <v>38</v>
      </c>
      <c r="AM2" s="42" t="s">
        <v>28</v>
      </c>
      <c r="AN2" s="38" t="s">
        <v>39</v>
      </c>
      <c r="AO2" s="37" t="s">
        <v>22</v>
      </c>
      <c r="AP2" s="40" t="s">
        <v>40</v>
      </c>
      <c r="AQ2" s="36" t="s">
        <v>41</v>
      </c>
      <c r="AR2" s="41" t="s">
        <v>42</v>
      </c>
      <c r="AS2" s="37" t="s">
        <v>43</v>
      </c>
      <c r="AT2" s="43" t="s">
        <v>44</v>
      </c>
    </row>
    <row r="3" spans="1:46" ht="18" customHeight="1">
      <c r="A3" s="11" t="s">
        <v>45</v>
      </c>
      <c r="B3" s="13" t="s">
        <v>96</v>
      </c>
      <c r="C3" s="13">
        <v>1</v>
      </c>
      <c r="D3" s="14">
        <v>1</v>
      </c>
      <c r="E3" s="44" t="s">
        <v>47</v>
      </c>
      <c r="F3" s="45" t="s">
        <v>54</v>
      </c>
      <c r="G3" s="45">
        <f>J3*0.84/100</f>
        <v>0.41159999999999997</v>
      </c>
      <c r="H3" s="45">
        <f>K3*0.84/100</f>
        <v>0.4704</v>
      </c>
      <c r="I3" s="1">
        <f aca="true" t="shared" si="0" ref="I3:I16">(G3+H3)/2</f>
        <v>0.44099999999999995</v>
      </c>
      <c r="J3" s="46">
        <v>49</v>
      </c>
      <c r="K3" s="46">
        <v>56</v>
      </c>
      <c r="L3" s="14">
        <f aca="true" t="shared" si="1" ref="L3:L16">(+J3+K3)/2</f>
        <v>52.5</v>
      </c>
      <c r="M3" s="47">
        <v>180</v>
      </c>
      <c r="N3" s="48">
        <v>54</v>
      </c>
      <c r="O3" s="48">
        <v>270</v>
      </c>
      <c r="P3" s="48">
        <v>66</v>
      </c>
      <c r="Q3" s="45"/>
      <c r="R3" s="49"/>
      <c r="S3" s="2">
        <f aca="true" t="shared" si="2" ref="S3:S16">COS(N3*PI()/180)*SIN(M3*PI()/180)*(SIN(P3*PI()/180))-(COS(P3*PI()/180)*SIN(O3*PI()/180))*(SIN(N3*PI()/180))</f>
        <v>0.3290568564833397</v>
      </c>
      <c r="T3" s="2">
        <f aca="true" t="shared" si="3" ref="T3:T16">(SIN(N3*PI()/180))*(COS(P3*PI()/180)*COS(O3*PI()/180))-(SIN(P3*PI()/180))*(COS(N3*PI()/180)*COS(M3*PI()/180))</f>
        <v>0.5369685473010989</v>
      </c>
      <c r="U3" s="2">
        <f aca="true" t="shared" si="4" ref="U3:U16">(COS(N3*PI()/180)*COS(M3*PI()/180))*(COS(P3*PI()/180)*SIN(O3*PI()/180))-(COS(N3*PI()/180)*SIN(M3*PI()/180))*(COS(P3*PI()/180)*COS(O3*PI()/180))</f>
        <v>0.23907380036690282</v>
      </c>
      <c r="V3" s="3">
        <f aca="true" t="shared" si="5" ref="V3:V16">IF(S3=0,IF(T3&gt;=0,90,270),IF(S3&gt;0,IF(T3&gt;=0,ATAN(T3/S3)*180/PI(),ATAN(T3/S3)*180/PI()+360),ATAN(T3/S3)*180/PI()+180))</f>
        <v>58.49983651786503</v>
      </c>
      <c r="W3" s="4">
        <f aca="true" t="shared" si="6" ref="W3:W16">ASIN(U3/SQRT(S3^2+T3^2+U3^2))*180/PI()</f>
        <v>20.78772316875247</v>
      </c>
      <c r="X3" s="5">
        <f aca="true" t="shared" si="7" ref="X3:X16">IF(U3&lt;0,V3,IF(V3+180&gt;=360,V3-180,V3+180))</f>
        <v>238.49983651786502</v>
      </c>
      <c r="Y3" s="3">
        <f aca="true" t="shared" si="8" ref="Y3:Y16">IF(X3-90&lt;0,X3+270,X3-90)</f>
        <v>148.49983651786502</v>
      </c>
      <c r="Z3" s="6">
        <f aca="true" t="shared" si="9" ref="Z3:Z16">IF(U3&lt;0,90+W3,90-W3)</f>
        <v>69.21227683124752</v>
      </c>
      <c r="AA3" s="7">
        <f aca="true" t="shared" si="10" ref="AA3:AA16">IF(-T3&lt;0,180-ACOS(SIN((X3-90)*PI()/180)*U3/SQRT(T3^2+U3^2))*180/PI(),ACOS(SIN((X3-90)*PI()/180)*U3/SQRT(T3^2+U3^2))*180/PI())</f>
        <v>102.27008939043544</v>
      </c>
      <c r="AB3" s="8">
        <f>IF(R3=90,IF(AA3-Q3&lt;0,AA3-Q3+180,AA3-Q3),IF(AA3+Q3&gt;180,AA3+Q3-180,AA3+Q3))</f>
        <v>102.27008939043544</v>
      </c>
      <c r="AC3" s="9">
        <f>COS(AB3*PI()/180)</f>
        <v>-0.21252030174858658</v>
      </c>
      <c r="AD3" s="9">
        <f aca="true" t="shared" si="11" ref="AD3:AD16">SIN(AB3*PI()/180)*COS(Z3*PI()/180)</f>
        <v>0.3467993918178933</v>
      </c>
      <c r="AE3" s="9">
        <f aca="true" t="shared" si="12" ref="AE3:AE16">SIN(AB3*PI()/180)*SIN(Z3*PI()/180)</f>
        <v>0.9135454576426008</v>
      </c>
      <c r="AF3" s="10">
        <f aca="true" t="shared" si="13" ref="AF3:AF16">IF(IF(AC3=0,IF(AD3&gt;=0,90,270),IF(AC3&gt;0,IF(AD3&gt;=0,ATAN(AD3/AC3)*180/PI(),ATAN(AD3/AC3)*180/PI()+360),ATAN(AD3/AC3)*180/PI()+180))-(360-Y3)&lt;0,IF(AC3=0,IF(AD3&gt;=0,90,270),IF(AC3&gt;0,IF(AD3&gt;=0,ATAN(AD3/AC3)*180/PI(),ATAN(AD3/AC3)*180/PI()+360),ATAN(AD3/AC3)*180/PI()+180))+Y3,IF(AC3=0,IF(AD3&gt;=0,90,270),IF(AC3&gt;0,IF(AD3&gt;=0,ATAN(AD3/AC3)*180/PI(),ATAN(AD3/AC3)*180/PI()+360),ATAN(AD3/AC3)*180/PI()+180))-(360-Y3))</f>
        <v>269.99999999999994</v>
      </c>
      <c r="AG3" s="8">
        <f aca="true" t="shared" si="14" ref="AG3:AG16">ASIN(AE3/SQRT(AC3^2+AD3^2+AE3^2))*180/PI()</f>
        <v>65.99999999999997</v>
      </c>
      <c r="AH3" s="9">
        <f aca="true" t="shared" si="15" ref="AH3:AH16">SIN(AE3*PI()/180)*SIN(AC3*PI()/180)</f>
        <v>-5.9137903506017235E-05</v>
      </c>
      <c r="AI3" s="11"/>
      <c r="AJ3" s="16"/>
      <c r="AK3" s="77">
        <v>194.9</v>
      </c>
      <c r="AL3" s="78">
        <v>40.9</v>
      </c>
      <c r="AM3" s="50">
        <f aca="true" t="shared" si="16" ref="AM3:AM16">IF(AL3&gt;=0,IF(X3&gt;=AK3,X3-AK3,X3-AK3+360),IF((X3-AK3-180)&lt;0,IF(X3-AK3+180&lt;0,X3-AK3+540,X3-AK3+180),X3-AK3-180))</f>
        <v>43.599836517865015</v>
      </c>
      <c r="AN3" s="3">
        <f aca="true" t="shared" si="17" ref="AN3:AN16">IF(AM3-90&lt;0,AM3+270,AM3-90)</f>
        <v>313.599836517865</v>
      </c>
      <c r="AO3" s="6">
        <f aca="true" t="shared" si="18" ref="AO3:AO16">Z3</f>
        <v>69.21227683124752</v>
      </c>
      <c r="AP3" s="10"/>
      <c r="AQ3" s="7"/>
      <c r="AR3" s="10"/>
      <c r="AS3" s="17"/>
      <c r="AT3" s="43"/>
    </row>
    <row r="4" spans="1:46" ht="18" customHeight="1">
      <c r="A4" s="11" t="s">
        <v>45</v>
      </c>
      <c r="B4" s="13" t="s">
        <v>96</v>
      </c>
      <c r="C4" s="13">
        <v>1</v>
      </c>
      <c r="D4" s="14">
        <v>1</v>
      </c>
      <c r="E4" s="44" t="s">
        <v>47</v>
      </c>
      <c r="F4" s="45" t="s">
        <v>54</v>
      </c>
      <c r="G4" s="45">
        <f>J4*0.84/100</f>
        <v>1.0415999999999999</v>
      </c>
      <c r="H4" s="45">
        <f>K4*0.84/100</f>
        <v>1.0836</v>
      </c>
      <c r="I4" s="1">
        <f t="shared" si="0"/>
        <v>1.0625999999999998</v>
      </c>
      <c r="J4" s="46">
        <v>124</v>
      </c>
      <c r="K4" s="46">
        <v>129</v>
      </c>
      <c r="L4" s="14">
        <f t="shared" si="1"/>
        <v>126.5</v>
      </c>
      <c r="M4" s="47">
        <v>180</v>
      </c>
      <c r="N4" s="48">
        <v>42</v>
      </c>
      <c r="O4" s="48">
        <v>270</v>
      </c>
      <c r="P4" s="48">
        <v>60</v>
      </c>
      <c r="Q4" s="45"/>
      <c r="R4" s="49"/>
      <c r="S4" s="2">
        <f t="shared" si="2"/>
        <v>0.33456530317942923</v>
      </c>
      <c r="T4" s="2">
        <f t="shared" si="3"/>
        <v>0.6435822975543763</v>
      </c>
      <c r="U4" s="2">
        <f t="shared" si="4"/>
        <v>0.3715724127386972</v>
      </c>
      <c r="V4" s="3">
        <f t="shared" si="5"/>
        <v>62.532400752809984</v>
      </c>
      <c r="W4" s="4">
        <f t="shared" si="6"/>
        <v>27.124548420166946</v>
      </c>
      <c r="X4" s="5">
        <f t="shared" si="7"/>
        <v>242.53240075281</v>
      </c>
      <c r="Y4" s="3">
        <f t="shared" si="8"/>
        <v>152.53240075281</v>
      </c>
      <c r="Z4" s="6">
        <f t="shared" si="9"/>
        <v>62.875451579833054</v>
      </c>
      <c r="AA4" s="7">
        <f t="shared" si="10"/>
        <v>103.33378065248029</v>
      </c>
      <c r="AB4" s="8">
        <f aca="true" t="shared" si="19" ref="AB4:AB16">IF(R4=90,IF(AA4-Q4&lt;0,AA4-Q4+180,AA4-Q4),IF(AA4+Q4&gt;180,AA4+Q4-180,AA4+Q4))</f>
        <v>103.33378065248029</v>
      </c>
      <c r="AC4" s="9">
        <f aca="true" t="shared" si="20" ref="AC4:AC16">COS(AB4*PI()/180)</f>
        <v>-0.23062346748346474</v>
      </c>
      <c r="AD4" s="9">
        <f t="shared" si="11"/>
        <v>0.4436359050459098</v>
      </c>
      <c r="AE4" s="9">
        <f t="shared" si="12"/>
        <v>0.8660254037844386</v>
      </c>
      <c r="AF4" s="10">
        <f t="shared" si="13"/>
        <v>270</v>
      </c>
      <c r="AG4" s="8">
        <f t="shared" si="14"/>
        <v>59.99999999999999</v>
      </c>
      <c r="AH4" s="9">
        <f t="shared" si="15"/>
        <v>-6.08374713741538E-05</v>
      </c>
      <c r="AI4" s="11"/>
      <c r="AJ4" s="16"/>
      <c r="AK4" s="77">
        <v>194.9</v>
      </c>
      <c r="AL4" s="78">
        <v>40.9</v>
      </c>
      <c r="AM4" s="5">
        <f t="shared" si="16"/>
        <v>47.632400752809986</v>
      </c>
      <c r="AN4" s="3">
        <f t="shared" si="17"/>
        <v>317.63240075281</v>
      </c>
      <c r="AO4" s="6">
        <f t="shared" si="18"/>
        <v>62.875451579833054</v>
      </c>
      <c r="AP4" s="10"/>
      <c r="AQ4" s="7"/>
      <c r="AR4" s="10"/>
      <c r="AS4" s="17"/>
      <c r="AT4" s="43"/>
    </row>
    <row r="5" spans="1:46" ht="18" customHeight="1">
      <c r="A5" s="11" t="s">
        <v>45</v>
      </c>
      <c r="B5" s="13" t="s">
        <v>96</v>
      </c>
      <c r="C5" s="13">
        <v>1</v>
      </c>
      <c r="D5" s="14">
        <v>3</v>
      </c>
      <c r="E5" s="19" t="s">
        <v>48</v>
      </c>
      <c r="F5" s="45"/>
      <c r="G5" s="45">
        <f>J5*0.84/100+1.38</f>
        <v>2.472</v>
      </c>
      <c r="H5" s="45">
        <f>K5*0.84/100+1.38</f>
        <v>2.4888</v>
      </c>
      <c r="I5" s="1">
        <f t="shared" si="0"/>
        <v>2.4804</v>
      </c>
      <c r="J5" s="46">
        <v>130</v>
      </c>
      <c r="K5" s="46">
        <v>132</v>
      </c>
      <c r="L5" s="14">
        <f t="shared" si="1"/>
        <v>131</v>
      </c>
      <c r="M5" s="47">
        <v>0</v>
      </c>
      <c r="N5" s="48">
        <v>20</v>
      </c>
      <c r="O5" s="48">
        <v>90</v>
      </c>
      <c r="P5" s="48">
        <v>25</v>
      </c>
      <c r="Q5" s="45"/>
      <c r="R5" s="49"/>
      <c r="S5" s="2">
        <f t="shared" si="2"/>
        <v>-0.30997551921944466</v>
      </c>
      <c r="T5" s="2">
        <f t="shared" si="3"/>
        <v>-0.39713126196710286</v>
      </c>
      <c r="U5" s="2">
        <f t="shared" si="4"/>
        <v>0.8516507396391465</v>
      </c>
      <c r="V5" s="3">
        <f t="shared" si="5"/>
        <v>232.02665581076573</v>
      </c>
      <c r="W5" s="4">
        <f t="shared" si="6"/>
        <v>59.39407390837526</v>
      </c>
      <c r="X5" s="5">
        <f t="shared" si="7"/>
        <v>52.02665581076573</v>
      </c>
      <c r="Y5" s="3">
        <f t="shared" si="8"/>
        <v>322.02665581076576</v>
      </c>
      <c r="Z5" s="6">
        <f t="shared" si="9"/>
        <v>30.605926091624738</v>
      </c>
      <c r="AA5" s="7">
        <f t="shared" si="10"/>
        <v>123.89319119264238</v>
      </c>
      <c r="AB5" s="8">
        <f t="shared" si="19"/>
        <v>123.89319119264238</v>
      </c>
      <c r="AC5" s="9">
        <f t="shared" si="20"/>
        <v>-0.5576464696133502</v>
      </c>
      <c r="AD5" s="9">
        <f t="shared" si="11"/>
        <v>0.7144397943641134</v>
      </c>
      <c r="AE5" s="9">
        <f t="shared" si="12"/>
        <v>0.4226182617406994</v>
      </c>
      <c r="AF5" s="10">
        <f t="shared" si="13"/>
        <v>90.00000000000003</v>
      </c>
      <c r="AG5" s="8">
        <f t="shared" si="14"/>
        <v>24.999999999999996</v>
      </c>
      <c r="AH5" s="9">
        <f t="shared" si="15"/>
        <v>-7.17878847660177E-05</v>
      </c>
      <c r="AI5" s="11"/>
      <c r="AJ5" s="16"/>
      <c r="AK5" s="77"/>
      <c r="AL5" s="78"/>
      <c r="AM5" s="5"/>
      <c r="AN5" s="3"/>
      <c r="AO5" s="6"/>
      <c r="AP5" s="10"/>
      <c r="AQ5" s="7"/>
      <c r="AR5" s="10"/>
      <c r="AS5" s="17"/>
      <c r="AT5" s="43"/>
    </row>
    <row r="6" spans="1:46" ht="18" customHeight="1">
      <c r="A6" s="11" t="s">
        <v>45</v>
      </c>
      <c r="B6" s="13" t="s">
        <v>96</v>
      </c>
      <c r="C6" s="13">
        <v>1</v>
      </c>
      <c r="D6" s="14">
        <v>4</v>
      </c>
      <c r="E6" s="19" t="s">
        <v>48</v>
      </c>
      <c r="F6" s="45"/>
      <c r="G6" s="45">
        <f aca="true" t="shared" si="21" ref="G6:H8">J6*0.84/100+2.558</f>
        <v>2.6252</v>
      </c>
      <c r="H6" s="45">
        <f t="shared" si="21"/>
        <v>2.6336</v>
      </c>
      <c r="I6" s="1">
        <f t="shared" si="0"/>
        <v>2.6294</v>
      </c>
      <c r="J6" s="46">
        <v>8</v>
      </c>
      <c r="K6" s="46">
        <v>9</v>
      </c>
      <c r="L6" s="14">
        <f t="shared" si="1"/>
        <v>8.5</v>
      </c>
      <c r="M6" s="47">
        <v>180</v>
      </c>
      <c r="N6" s="48">
        <v>9</v>
      </c>
      <c r="O6" s="48">
        <v>90</v>
      </c>
      <c r="P6" s="48">
        <v>10</v>
      </c>
      <c r="Q6" s="45"/>
      <c r="R6" s="49"/>
      <c r="S6" s="2">
        <f t="shared" si="2"/>
        <v>-0.15405787400993654</v>
      </c>
      <c r="T6" s="2">
        <f t="shared" si="3"/>
        <v>0.17151028044722008</v>
      </c>
      <c r="U6" s="2">
        <f t="shared" si="4"/>
        <v>-0.972683135377854</v>
      </c>
      <c r="V6" s="3">
        <f t="shared" si="5"/>
        <v>131.931539382861</v>
      </c>
      <c r="W6" s="4">
        <f t="shared" si="6"/>
        <v>-76.66600617464948</v>
      </c>
      <c r="X6" s="5">
        <f t="shared" si="7"/>
        <v>131.931539382861</v>
      </c>
      <c r="Y6" s="3">
        <f t="shared" si="8"/>
        <v>41.93153938286099</v>
      </c>
      <c r="Z6" s="6">
        <f t="shared" si="9"/>
        <v>13.333993825350518</v>
      </c>
      <c r="AA6" s="7">
        <f t="shared" si="10"/>
        <v>48.84562698535126</v>
      </c>
      <c r="AB6" s="8">
        <f t="shared" si="19"/>
        <v>48.84562698535126</v>
      </c>
      <c r="AC6" s="9">
        <f t="shared" si="20"/>
        <v>0.658090072392172</v>
      </c>
      <c r="AD6" s="9">
        <f t="shared" si="11"/>
        <v>0.7326416361440428</v>
      </c>
      <c r="AE6" s="9">
        <f t="shared" si="12"/>
        <v>0.17364817766693036</v>
      </c>
      <c r="AF6" s="10">
        <f t="shared" si="13"/>
        <v>89.99999999999999</v>
      </c>
      <c r="AG6" s="8">
        <f t="shared" si="14"/>
        <v>10.000000000000002</v>
      </c>
      <c r="AH6" s="9">
        <f t="shared" si="15"/>
        <v>3.4809684784059486E-05</v>
      </c>
      <c r="AI6" s="11"/>
      <c r="AJ6" s="16"/>
      <c r="AK6" s="77"/>
      <c r="AL6" s="78"/>
      <c r="AM6" s="5"/>
      <c r="AN6" s="3"/>
      <c r="AO6" s="6"/>
      <c r="AP6" s="10"/>
      <c r="AQ6" s="7"/>
      <c r="AR6" s="10"/>
      <c r="AS6" s="17"/>
      <c r="AT6" s="43"/>
    </row>
    <row r="7" spans="1:46" ht="18" customHeight="1">
      <c r="A7" s="11" t="s">
        <v>45</v>
      </c>
      <c r="B7" s="13" t="s">
        <v>96</v>
      </c>
      <c r="C7" s="13">
        <v>1</v>
      </c>
      <c r="D7" s="14">
        <v>4</v>
      </c>
      <c r="E7" s="19" t="s">
        <v>48</v>
      </c>
      <c r="F7" s="45"/>
      <c r="G7" s="45">
        <f t="shared" si="21"/>
        <v>3.4819999999999998</v>
      </c>
      <c r="H7" s="45">
        <f t="shared" si="21"/>
        <v>3.5155999999999996</v>
      </c>
      <c r="I7" s="1">
        <f t="shared" si="0"/>
        <v>3.4987999999999997</v>
      </c>
      <c r="J7" s="46">
        <v>110</v>
      </c>
      <c r="K7" s="46">
        <v>114</v>
      </c>
      <c r="L7" s="14">
        <f t="shared" si="1"/>
        <v>112</v>
      </c>
      <c r="M7" s="47">
        <v>180</v>
      </c>
      <c r="N7" s="48">
        <v>8</v>
      </c>
      <c r="O7" s="48">
        <v>90</v>
      </c>
      <c r="P7" s="48">
        <v>36</v>
      </c>
      <c r="Q7" s="45"/>
      <c r="R7" s="49"/>
      <c r="S7" s="2">
        <f t="shared" si="2"/>
        <v>-0.11259340383655318</v>
      </c>
      <c r="T7" s="2">
        <f t="shared" si="3"/>
        <v>0.5820649666224441</v>
      </c>
      <c r="U7" s="2">
        <f t="shared" si="4"/>
        <v>-0.8011436965987891</v>
      </c>
      <c r="V7" s="3">
        <f t="shared" si="5"/>
        <v>100.9479586652689</v>
      </c>
      <c r="W7" s="4">
        <f t="shared" si="6"/>
        <v>-53.498164365760424</v>
      </c>
      <c r="X7" s="5">
        <f t="shared" si="7"/>
        <v>100.9479586652689</v>
      </c>
      <c r="Y7" s="3">
        <f t="shared" si="8"/>
        <v>10.9479586652689</v>
      </c>
      <c r="Z7" s="6">
        <f t="shared" si="9"/>
        <v>36.501835634239576</v>
      </c>
      <c r="AA7" s="7">
        <f t="shared" si="10"/>
        <v>81.16170355544202</v>
      </c>
      <c r="AB7" s="8">
        <f t="shared" si="19"/>
        <v>81.16170355544202</v>
      </c>
      <c r="AC7" s="9">
        <f t="shared" si="20"/>
        <v>0.1536463329717818</v>
      </c>
      <c r="AD7" s="9">
        <f t="shared" si="11"/>
        <v>0.7942929570075503</v>
      </c>
      <c r="AE7" s="9">
        <f t="shared" si="12"/>
        <v>0.5877852522924731</v>
      </c>
      <c r="AF7" s="10">
        <f t="shared" si="13"/>
        <v>90</v>
      </c>
      <c r="AG7" s="8">
        <f t="shared" si="14"/>
        <v>36</v>
      </c>
      <c r="AH7" s="9">
        <f t="shared" si="15"/>
        <v>2.7509803087364784E-05</v>
      </c>
      <c r="AI7" s="11"/>
      <c r="AJ7" s="16"/>
      <c r="AK7" s="77"/>
      <c r="AL7" s="78"/>
      <c r="AM7" s="5"/>
      <c r="AN7" s="3"/>
      <c r="AO7" s="6"/>
      <c r="AP7" s="10"/>
      <c r="AQ7" s="7"/>
      <c r="AR7" s="10"/>
      <c r="AS7" s="17"/>
      <c r="AT7" s="43"/>
    </row>
    <row r="8" spans="1:46" ht="18" customHeight="1">
      <c r="A8" s="11" t="s">
        <v>45</v>
      </c>
      <c r="B8" s="13" t="s">
        <v>96</v>
      </c>
      <c r="C8" s="13">
        <v>1</v>
      </c>
      <c r="D8" s="14">
        <v>4</v>
      </c>
      <c r="E8" s="44" t="s">
        <v>47</v>
      </c>
      <c r="F8" s="45" t="s">
        <v>54</v>
      </c>
      <c r="G8" s="45">
        <f t="shared" si="21"/>
        <v>3.4652</v>
      </c>
      <c r="H8" s="45">
        <f t="shared" si="21"/>
        <v>3.566</v>
      </c>
      <c r="I8" s="1">
        <f t="shared" si="0"/>
        <v>3.5156</v>
      </c>
      <c r="J8" s="46">
        <v>108</v>
      </c>
      <c r="K8" s="46">
        <v>120</v>
      </c>
      <c r="L8" s="14">
        <f t="shared" si="1"/>
        <v>114</v>
      </c>
      <c r="M8" s="47">
        <v>0</v>
      </c>
      <c r="N8" s="48">
        <v>47</v>
      </c>
      <c r="O8" s="48">
        <v>270</v>
      </c>
      <c r="P8" s="48">
        <v>71</v>
      </c>
      <c r="Q8" s="45"/>
      <c r="R8" s="49"/>
      <c r="S8" s="2">
        <f t="shared" si="2"/>
        <v>0.23810547489156342</v>
      </c>
      <c r="T8" s="2">
        <f t="shared" si="3"/>
        <v>-0.6448421179673635</v>
      </c>
      <c r="U8" s="2">
        <f t="shared" si="4"/>
        <v>-0.2220369474283551</v>
      </c>
      <c r="V8" s="3">
        <f t="shared" si="5"/>
        <v>290.26647341992305</v>
      </c>
      <c r="W8" s="4">
        <f t="shared" si="6"/>
        <v>-17.901022372200238</v>
      </c>
      <c r="X8" s="5">
        <f t="shared" si="7"/>
        <v>290.26647341992305</v>
      </c>
      <c r="Y8" s="3">
        <f t="shared" si="8"/>
        <v>200.26647341992305</v>
      </c>
      <c r="Z8" s="6">
        <f t="shared" si="9"/>
        <v>72.09897762779977</v>
      </c>
      <c r="AA8" s="7">
        <f t="shared" si="10"/>
        <v>83.52483672254606</v>
      </c>
      <c r="AB8" s="8">
        <f t="shared" si="19"/>
        <v>83.52483672254606</v>
      </c>
      <c r="AC8" s="9">
        <f t="shared" si="20"/>
        <v>0.11277250705032635</v>
      </c>
      <c r="AD8" s="9">
        <f t="shared" si="11"/>
        <v>0.3054128105535574</v>
      </c>
      <c r="AE8" s="9">
        <f t="shared" si="12"/>
        <v>0.9455185755993168</v>
      </c>
      <c r="AF8" s="10">
        <f t="shared" si="13"/>
        <v>270</v>
      </c>
      <c r="AG8" s="8">
        <f t="shared" si="14"/>
        <v>71.00000000000001</v>
      </c>
      <c r="AH8" s="9">
        <f t="shared" si="15"/>
        <v>3.247940341407064E-05</v>
      </c>
      <c r="AI8" s="11"/>
      <c r="AJ8" s="16"/>
      <c r="AK8" s="77"/>
      <c r="AL8" s="78"/>
      <c r="AM8" s="5"/>
      <c r="AN8" s="3"/>
      <c r="AO8" s="6"/>
      <c r="AP8" s="10"/>
      <c r="AQ8" s="7"/>
      <c r="AR8" s="10"/>
      <c r="AS8" s="17"/>
      <c r="AT8" s="43"/>
    </row>
    <row r="9" spans="1:46" ht="18" customHeight="1">
      <c r="A9" s="11" t="s">
        <v>45</v>
      </c>
      <c r="B9" s="13" t="s">
        <v>96</v>
      </c>
      <c r="C9" s="13">
        <v>1</v>
      </c>
      <c r="D9" s="14">
        <v>5</v>
      </c>
      <c r="E9" s="44" t="s">
        <v>47</v>
      </c>
      <c r="F9" s="45" t="s">
        <v>54</v>
      </c>
      <c r="G9" s="45">
        <f>J9*0.84/100+3.74</f>
        <v>3.8408</v>
      </c>
      <c r="H9" s="45">
        <f>K9*0.84/100+3.74</f>
        <v>3.9332000000000003</v>
      </c>
      <c r="I9" s="1">
        <f t="shared" si="0"/>
        <v>3.8870000000000005</v>
      </c>
      <c r="J9" s="46">
        <v>12</v>
      </c>
      <c r="K9" s="46">
        <v>23</v>
      </c>
      <c r="L9" s="14">
        <f t="shared" si="1"/>
        <v>17.5</v>
      </c>
      <c r="M9" s="47">
        <v>0</v>
      </c>
      <c r="N9" s="48">
        <v>42</v>
      </c>
      <c r="O9" s="48">
        <v>70</v>
      </c>
      <c r="P9" s="48">
        <v>61</v>
      </c>
      <c r="Q9" s="45"/>
      <c r="R9" s="49"/>
      <c r="S9" s="2">
        <f t="shared" si="2"/>
        <v>-0.30483718374354807</v>
      </c>
      <c r="T9" s="2">
        <f t="shared" si="3"/>
        <v>-0.5390174484410073</v>
      </c>
      <c r="U9" s="2">
        <f t="shared" si="4"/>
        <v>0.33855599125087066</v>
      </c>
      <c r="V9" s="3">
        <f t="shared" si="5"/>
        <v>240.510003045111</v>
      </c>
      <c r="W9" s="4">
        <f t="shared" si="6"/>
        <v>28.666442092397602</v>
      </c>
      <c r="X9" s="5">
        <f t="shared" si="7"/>
        <v>60.510003045111006</v>
      </c>
      <c r="Y9" s="3">
        <f t="shared" si="8"/>
        <v>330.51000304511103</v>
      </c>
      <c r="Z9" s="6">
        <f t="shared" si="9"/>
        <v>61.3335579076024</v>
      </c>
      <c r="AA9" s="7">
        <f t="shared" si="10"/>
        <v>105.17876922077208</v>
      </c>
      <c r="AB9" s="8">
        <f t="shared" si="19"/>
        <v>105.17876922077208</v>
      </c>
      <c r="AC9" s="9">
        <f t="shared" si="20"/>
        <v>-0.2618315766818367</v>
      </c>
      <c r="AD9" s="9">
        <f t="shared" si="11"/>
        <v>0.4629743217384533</v>
      </c>
      <c r="AE9" s="9">
        <f t="shared" si="12"/>
        <v>0.8468169830979553</v>
      </c>
      <c r="AF9" s="10">
        <f t="shared" si="13"/>
        <v>90.00000000000004</v>
      </c>
      <c r="AG9" s="8">
        <f t="shared" si="14"/>
        <v>57.867136356306844</v>
      </c>
      <c r="AH9" s="9">
        <f t="shared" si="15"/>
        <v>-6.753812389839151E-05</v>
      </c>
      <c r="AI9" s="11"/>
      <c r="AJ9" s="16"/>
      <c r="AK9" s="77"/>
      <c r="AL9" s="78"/>
      <c r="AM9" s="5"/>
      <c r="AN9" s="3"/>
      <c r="AO9" s="6"/>
      <c r="AP9" s="10"/>
      <c r="AQ9" s="7"/>
      <c r="AR9" s="10"/>
      <c r="AS9" s="17"/>
      <c r="AT9" s="43"/>
    </row>
    <row r="10" spans="1:46" ht="18" customHeight="1">
      <c r="A10" s="11" t="s">
        <v>45</v>
      </c>
      <c r="B10" s="13" t="s">
        <v>96</v>
      </c>
      <c r="C10" s="13">
        <v>1</v>
      </c>
      <c r="D10" s="14">
        <v>5</v>
      </c>
      <c r="E10" s="44" t="s">
        <v>47</v>
      </c>
      <c r="F10" s="45" t="s">
        <v>54</v>
      </c>
      <c r="G10" s="45">
        <f>J10*0.84/100+3.74</f>
        <v>4.0760000000000005</v>
      </c>
      <c r="H10" s="45">
        <f>K10*0.84/100+3.74</f>
        <v>4.1684</v>
      </c>
      <c r="I10" s="1">
        <f t="shared" si="0"/>
        <v>4.1222</v>
      </c>
      <c r="J10" s="46">
        <v>40</v>
      </c>
      <c r="K10" s="46">
        <v>51</v>
      </c>
      <c r="L10" s="14">
        <f t="shared" si="1"/>
        <v>45.5</v>
      </c>
      <c r="M10" s="47">
        <v>180</v>
      </c>
      <c r="N10" s="48">
        <v>50</v>
      </c>
      <c r="O10" s="48">
        <v>270</v>
      </c>
      <c r="P10" s="48">
        <v>65</v>
      </c>
      <c r="Q10" s="45"/>
      <c r="R10" s="49"/>
      <c r="S10" s="2">
        <f t="shared" si="2"/>
        <v>0.32374437096706465</v>
      </c>
      <c r="T10" s="2">
        <f t="shared" si="3"/>
        <v>0.5825634160695853</v>
      </c>
      <c r="U10" s="2">
        <f t="shared" si="4"/>
        <v>0.27165378227418446</v>
      </c>
      <c r="V10" s="3">
        <f t="shared" si="5"/>
        <v>60.93802906795495</v>
      </c>
      <c r="W10" s="4">
        <f t="shared" si="6"/>
        <v>22.175667195808476</v>
      </c>
      <c r="X10" s="5">
        <f t="shared" si="7"/>
        <v>240.93802906795494</v>
      </c>
      <c r="Y10" s="3">
        <f t="shared" si="8"/>
        <v>150.93802906795494</v>
      </c>
      <c r="Z10" s="6">
        <f t="shared" si="9"/>
        <v>67.82433280419153</v>
      </c>
      <c r="AA10" s="7">
        <f t="shared" si="10"/>
        <v>101.84642144882514</v>
      </c>
      <c r="AB10" s="8">
        <f t="shared" si="19"/>
        <v>101.84642144882514</v>
      </c>
      <c r="AC10" s="9">
        <f t="shared" si="20"/>
        <v>-0.20528906996912097</v>
      </c>
      <c r="AD10" s="9">
        <f t="shared" si="11"/>
        <v>0.36940843643309473</v>
      </c>
      <c r="AE10" s="9">
        <f t="shared" si="12"/>
        <v>0.9063077870366498</v>
      </c>
      <c r="AF10" s="10">
        <f t="shared" si="13"/>
        <v>270</v>
      </c>
      <c r="AG10" s="8">
        <f t="shared" si="14"/>
        <v>65</v>
      </c>
      <c r="AH10" s="9">
        <f t="shared" si="15"/>
        <v>-5.667313452718193E-05</v>
      </c>
      <c r="AI10" s="11"/>
      <c r="AJ10" s="16"/>
      <c r="AK10" s="77"/>
      <c r="AL10" s="78"/>
      <c r="AM10" s="5"/>
      <c r="AN10" s="3"/>
      <c r="AO10" s="6"/>
      <c r="AP10" s="10"/>
      <c r="AQ10" s="7"/>
      <c r="AR10" s="10"/>
      <c r="AS10" s="17"/>
      <c r="AT10" s="43"/>
    </row>
    <row r="11" spans="1:46" ht="18" customHeight="1">
      <c r="A11" s="11" t="s">
        <v>45</v>
      </c>
      <c r="B11" s="13" t="s">
        <v>96</v>
      </c>
      <c r="C11" s="13">
        <v>1</v>
      </c>
      <c r="D11" s="14">
        <v>6</v>
      </c>
      <c r="E11" s="44" t="s">
        <v>47</v>
      </c>
      <c r="F11" s="45" t="s">
        <v>54</v>
      </c>
      <c r="G11" s="45">
        <f>J11*0.84/100+4.465</f>
        <v>4.465</v>
      </c>
      <c r="H11" s="45">
        <f>K11*0.84/100+4.465</f>
        <v>4.5405999999999995</v>
      </c>
      <c r="I11" s="1">
        <f t="shared" si="0"/>
        <v>4.5028</v>
      </c>
      <c r="J11" s="46">
        <v>0</v>
      </c>
      <c r="K11" s="46">
        <v>9</v>
      </c>
      <c r="L11" s="14">
        <f t="shared" si="1"/>
        <v>4.5</v>
      </c>
      <c r="M11" s="47">
        <v>270</v>
      </c>
      <c r="N11" s="48">
        <v>65</v>
      </c>
      <c r="O11" s="48">
        <v>208</v>
      </c>
      <c r="P11" s="48">
        <v>0</v>
      </c>
      <c r="Q11" s="45"/>
      <c r="R11" s="49"/>
      <c r="S11" s="2">
        <f t="shared" si="2"/>
        <v>0.4254857331451184</v>
      </c>
      <c r="T11" s="2">
        <f t="shared" si="3"/>
        <v>-0.800222278953311</v>
      </c>
      <c r="U11" s="2">
        <f t="shared" si="4"/>
        <v>-0.37314977690217443</v>
      </c>
      <c r="V11" s="3">
        <f t="shared" si="5"/>
        <v>298</v>
      </c>
      <c r="W11" s="4">
        <f t="shared" si="6"/>
        <v>-22.37820083865768</v>
      </c>
      <c r="X11" s="5">
        <f t="shared" si="7"/>
        <v>298</v>
      </c>
      <c r="Y11" s="3">
        <f t="shared" si="8"/>
        <v>208</v>
      </c>
      <c r="Z11" s="6">
        <f t="shared" si="9"/>
        <v>67.62179916134232</v>
      </c>
      <c r="AA11" s="7">
        <f t="shared" si="10"/>
        <v>78.5561648772469</v>
      </c>
      <c r="AB11" s="8">
        <f t="shared" si="19"/>
        <v>78.5561648772469</v>
      </c>
      <c r="AC11" s="9">
        <f t="shared" si="20"/>
        <v>0.1984072558012628</v>
      </c>
      <c r="AD11" s="9">
        <f t="shared" si="11"/>
        <v>0.3731497769021743</v>
      </c>
      <c r="AE11" s="9">
        <f t="shared" si="12"/>
        <v>0.9063077870366499</v>
      </c>
      <c r="AF11" s="10">
        <f t="shared" si="13"/>
        <v>270</v>
      </c>
      <c r="AG11" s="8">
        <f t="shared" si="14"/>
        <v>65.00000000000001</v>
      </c>
      <c r="AH11" s="9">
        <f t="shared" si="15"/>
        <v>5.47733139755591E-05</v>
      </c>
      <c r="AI11" s="11"/>
      <c r="AJ11" s="16"/>
      <c r="AK11" s="77"/>
      <c r="AL11" s="78"/>
      <c r="AM11" s="5"/>
      <c r="AN11" s="3"/>
      <c r="AO11" s="6"/>
      <c r="AP11" s="10"/>
      <c r="AQ11" s="7"/>
      <c r="AR11" s="10"/>
      <c r="AS11" s="17"/>
      <c r="AT11" s="43"/>
    </row>
    <row r="12" spans="1:46" ht="18" customHeight="1">
      <c r="A12" s="11" t="s">
        <v>45</v>
      </c>
      <c r="B12" s="13" t="s">
        <v>96</v>
      </c>
      <c r="C12" s="13">
        <v>1</v>
      </c>
      <c r="D12" s="14">
        <v>7</v>
      </c>
      <c r="E12" s="44" t="s">
        <v>48</v>
      </c>
      <c r="F12" s="45"/>
      <c r="G12" s="45">
        <f aca="true" t="shared" si="22" ref="G12:H16">J12*0.84/100+4.642</f>
        <v>4.751200000000001</v>
      </c>
      <c r="H12" s="45">
        <f t="shared" si="22"/>
        <v>4.768000000000001</v>
      </c>
      <c r="I12" s="1">
        <f t="shared" si="0"/>
        <v>4.759600000000001</v>
      </c>
      <c r="J12" s="46">
        <v>13</v>
      </c>
      <c r="K12" s="46">
        <v>15</v>
      </c>
      <c r="L12" s="14">
        <f t="shared" si="1"/>
        <v>14</v>
      </c>
      <c r="M12" s="47">
        <v>180</v>
      </c>
      <c r="N12" s="48">
        <v>19</v>
      </c>
      <c r="O12" s="48">
        <v>90</v>
      </c>
      <c r="P12" s="48">
        <v>16</v>
      </c>
      <c r="Q12" s="45"/>
      <c r="R12" s="49"/>
      <c r="S12" s="2">
        <f t="shared" si="2"/>
        <v>-0.3129561962969949</v>
      </c>
      <c r="T12" s="2">
        <f t="shared" si="3"/>
        <v>0.2606202400540511</v>
      </c>
      <c r="U12" s="2">
        <f t="shared" si="4"/>
        <v>-0.9088907895217829</v>
      </c>
      <c r="V12" s="3">
        <f t="shared" si="5"/>
        <v>140.2135142013795</v>
      </c>
      <c r="W12" s="4">
        <f t="shared" si="6"/>
        <v>-65.86333794909615</v>
      </c>
      <c r="X12" s="5">
        <f t="shared" si="7"/>
        <v>140.2135142013795</v>
      </c>
      <c r="Y12" s="3">
        <f t="shared" si="8"/>
        <v>50.213514201379496</v>
      </c>
      <c r="Z12" s="6">
        <f t="shared" si="9"/>
        <v>24.13666205090385</v>
      </c>
      <c r="AA12" s="7">
        <f t="shared" si="10"/>
        <v>42.38204318073397</v>
      </c>
      <c r="AB12" s="8">
        <f t="shared" si="19"/>
        <v>42.38204318073397</v>
      </c>
      <c r="AC12" s="9">
        <f t="shared" si="20"/>
        <v>0.7386666345131732</v>
      </c>
      <c r="AD12" s="9">
        <f t="shared" si="11"/>
        <v>0.6151387251142586</v>
      </c>
      <c r="AE12" s="9">
        <f t="shared" si="12"/>
        <v>0.275637355816999</v>
      </c>
      <c r="AF12" s="10">
        <f t="shared" si="13"/>
        <v>90</v>
      </c>
      <c r="AG12" s="8">
        <f t="shared" si="14"/>
        <v>15.999999999999991</v>
      </c>
      <c r="AH12" s="9">
        <f t="shared" si="15"/>
        <v>6.201940378795071E-05</v>
      </c>
      <c r="AI12" s="11"/>
      <c r="AJ12" s="16"/>
      <c r="AK12" s="77">
        <v>245.9</v>
      </c>
      <c r="AL12" s="78">
        <v>48.4</v>
      </c>
      <c r="AM12" s="5">
        <f t="shared" si="16"/>
        <v>254.3135142013795</v>
      </c>
      <c r="AN12" s="3">
        <f t="shared" si="17"/>
        <v>164.3135142013795</v>
      </c>
      <c r="AO12" s="6">
        <f t="shared" si="18"/>
        <v>24.13666205090385</v>
      </c>
      <c r="AP12" s="10"/>
      <c r="AQ12" s="7"/>
      <c r="AR12" s="10"/>
      <c r="AS12" s="17"/>
      <c r="AT12" s="43"/>
    </row>
    <row r="13" spans="1:46" ht="18" customHeight="1">
      <c r="A13" s="11" t="s">
        <v>45</v>
      </c>
      <c r="B13" s="13" t="s">
        <v>96</v>
      </c>
      <c r="C13" s="13">
        <v>1</v>
      </c>
      <c r="D13" s="14">
        <v>7</v>
      </c>
      <c r="E13" s="44" t="s">
        <v>47</v>
      </c>
      <c r="F13" s="45" t="s">
        <v>54</v>
      </c>
      <c r="G13" s="45">
        <f t="shared" si="22"/>
        <v>4.726</v>
      </c>
      <c r="H13" s="45">
        <f t="shared" si="22"/>
        <v>4.8604</v>
      </c>
      <c r="I13" s="1">
        <f t="shared" si="0"/>
        <v>4.793200000000001</v>
      </c>
      <c r="J13" s="46">
        <v>10</v>
      </c>
      <c r="K13" s="46">
        <v>26</v>
      </c>
      <c r="L13" s="14">
        <f t="shared" si="1"/>
        <v>18</v>
      </c>
      <c r="M13" s="47">
        <v>0</v>
      </c>
      <c r="N13" s="48">
        <v>60</v>
      </c>
      <c r="O13" s="48">
        <v>270</v>
      </c>
      <c r="P13" s="48">
        <v>66</v>
      </c>
      <c r="Q13" s="45"/>
      <c r="R13" s="49"/>
      <c r="S13" s="2">
        <f t="shared" si="2"/>
        <v>0.35224426555364696</v>
      </c>
      <c r="T13" s="2">
        <f t="shared" si="3"/>
        <v>-0.4567727288213006</v>
      </c>
      <c r="U13" s="2">
        <f t="shared" si="4"/>
        <v>-0.20336832153790016</v>
      </c>
      <c r="V13" s="3">
        <f t="shared" si="5"/>
        <v>307.6379257830991</v>
      </c>
      <c r="W13" s="4">
        <f t="shared" si="6"/>
        <v>-19.421130821862672</v>
      </c>
      <c r="X13" s="5">
        <f t="shared" si="7"/>
        <v>307.6379257830991</v>
      </c>
      <c r="Y13" s="3">
        <f t="shared" si="8"/>
        <v>217.6379257830991</v>
      </c>
      <c r="Z13" s="6">
        <f t="shared" si="9"/>
        <v>70.57886917813732</v>
      </c>
      <c r="AA13" s="7">
        <f t="shared" si="10"/>
        <v>75.6182327612791</v>
      </c>
      <c r="AB13" s="8">
        <f t="shared" si="19"/>
        <v>75.6182327612791</v>
      </c>
      <c r="AC13" s="9">
        <f t="shared" si="20"/>
        <v>0.24838165038258675</v>
      </c>
      <c r="AD13" s="9">
        <f t="shared" si="11"/>
        <v>0.3220888892430058</v>
      </c>
      <c r="AE13" s="9">
        <f t="shared" si="12"/>
        <v>0.9135454576426009</v>
      </c>
      <c r="AF13" s="10">
        <f t="shared" si="13"/>
        <v>270.00000000000006</v>
      </c>
      <c r="AG13" s="8">
        <f t="shared" si="14"/>
        <v>66.00000000000001</v>
      </c>
      <c r="AH13" s="9">
        <f t="shared" si="15"/>
        <v>6.911696259637808E-05</v>
      </c>
      <c r="AI13" s="11"/>
      <c r="AJ13" s="16"/>
      <c r="AK13" s="77">
        <v>245.9</v>
      </c>
      <c r="AL13" s="78">
        <v>48.4</v>
      </c>
      <c r="AM13" s="5">
        <f t="shared" si="16"/>
        <v>61.73792578309909</v>
      </c>
      <c r="AN13" s="3">
        <f t="shared" si="17"/>
        <v>331.73792578309906</v>
      </c>
      <c r="AO13" s="6">
        <f t="shared" si="18"/>
        <v>70.57886917813732</v>
      </c>
      <c r="AP13" s="10"/>
      <c r="AQ13" s="7"/>
      <c r="AR13" s="10"/>
      <c r="AS13" s="17"/>
      <c r="AT13" s="43"/>
    </row>
    <row r="14" spans="1:46" ht="18" customHeight="1">
      <c r="A14" s="11" t="s">
        <v>45</v>
      </c>
      <c r="B14" s="13" t="s">
        <v>96</v>
      </c>
      <c r="C14" s="13">
        <v>1</v>
      </c>
      <c r="D14" s="14">
        <v>7</v>
      </c>
      <c r="E14" s="44" t="s">
        <v>95</v>
      </c>
      <c r="F14" s="45" t="s">
        <v>54</v>
      </c>
      <c r="G14" s="45">
        <f t="shared" si="22"/>
        <v>4.8184000000000005</v>
      </c>
      <c r="H14" s="45">
        <f t="shared" si="22"/>
        <v>4.994800000000001</v>
      </c>
      <c r="I14" s="1">
        <f t="shared" si="0"/>
        <v>4.906600000000001</v>
      </c>
      <c r="J14" s="46">
        <v>21</v>
      </c>
      <c r="K14" s="46">
        <v>42</v>
      </c>
      <c r="L14" s="14">
        <f t="shared" si="1"/>
        <v>31.5</v>
      </c>
      <c r="M14" s="47">
        <v>0</v>
      </c>
      <c r="N14" s="48">
        <v>31</v>
      </c>
      <c r="O14" s="48">
        <v>70</v>
      </c>
      <c r="P14" s="48">
        <v>70</v>
      </c>
      <c r="Q14" s="45"/>
      <c r="R14" s="49"/>
      <c r="S14" s="2">
        <f t="shared" si="2"/>
        <v>-0.1655300465344953</v>
      </c>
      <c r="T14" s="2">
        <f t="shared" si="3"/>
        <v>-0.745225777433495</v>
      </c>
      <c r="U14" s="2">
        <f t="shared" si="4"/>
        <v>0.275488260159887</v>
      </c>
      <c r="V14" s="3">
        <f t="shared" si="5"/>
        <v>257.476737290927</v>
      </c>
      <c r="W14" s="4">
        <f t="shared" si="6"/>
        <v>19.843280220851778</v>
      </c>
      <c r="X14" s="5">
        <f t="shared" si="7"/>
        <v>77.47673729092702</v>
      </c>
      <c r="Y14" s="3">
        <f t="shared" si="8"/>
        <v>347.476737290927</v>
      </c>
      <c r="Z14" s="6">
        <f t="shared" si="9"/>
        <v>70.15671977914822</v>
      </c>
      <c r="AA14" s="7">
        <f t="shared" si="10"/>
        <v>94.31185946400502</v>
      </c>
      <c r="AB14" s="8">
        <f t="shared" si="19"/>
        <v>94.31185946400502</v>
      </c>
      <c r="AC14" s="9">
        <f t="shared" si="20"/>
        <v>-0.07518512927318116</v>
      </c>
      <c r="AD14" s="9">
        <f t="shared" si="11"/>
        <v>0.3384877705714176</v>
      </c>
      <c r="AE14" s="9">
        <f t="shared" si="12"/>
        <v>0.9379622729671842</v>
      </c>
      <c r="AF14" s="10">
        <f t="shared" si="13"/>
        <v>89.99999999999997</v>
      </c>
      <c r="AG14" s="8">
        <f t="shared" si="14"/>
        <v>69.71211515611431</v>
      </c>
      <c r="AH14" s="9">
        <f t="shared" si="15"/>
        <v>-2.1480902974470316E-05</v>
      </c>
      <c r="AI14" s="11"/>
      <c r="AJ14" s="16"/>
      <c r="AK14" s="77">
        <v>245.9</v>
      </c>
      <c r="AL14" s="78">
        <v>48.4</v>
      </c>
      <c r="AM14" s="5">
        <f t="shared" si="16"/>
        <v>191.576737290927</v>
      </c>
      <c r="AN14" s="3">
        <f t="shared" si="17"/>
        <v>101.57673729092701</v>
      </c>
      <c r="AO14" s="6">
        <f t="shared" si="18"/>
        <v>70.15671977914822</v>
      </c>
      <c r="AP14" s="10"/>
      <c r="AQ14" s="7"/>
      <c r="AR14" s="10"/>
      <c r="AS14" s="17"/>
      <c r="AT14" s="43"/>
    </row>
    <row r="15" spans="1:46" ht="18" customHeight="1">
      <c r="A15" s="11" t="s">
        <v>45</v>
      </c>
      <c r="B15" s="13" t="s">
        <v>96</v>
      </c>
      <c r="C15" s="13">
        <v>1</v>
      </c>
      <c r="D15" s="14">
        <v>7</v>
      </c>
      <c r="E15" s="44" t="s">
        <v>48</v>
      </c>
      <c r="F15" s="45"/>
      <c r="G15" s="45">
        <f t="shared" si="22"/>
        <v>5.162800000000001</v>
      </c>
      <c r="H15" s="45">
        <f t="shared" si="22"/>
        <v>5.188000000000001</v>
      </c>
      <c r="I15" s="1">
        <f t="shared" si="0"/>
        <v>5.175400000000001</v>
      </c>
      <c r="J15" s="46">
        <v>62</v>
      </c>
      <c r="K15" s="46">
        <v>65</v>
      </c>
      <c r="L15" s="14">
        <f t="shared" si="1"/>
        <v>63.5</v>
      </c>
      <c r="M15" s="47">
        <v>180</v>
      </c>
      <c r="N15" s="48">
        <v>18</v>
      </c>
      <c r="O15" s="48">
        <v>90</v>
      </c>
      <c r="P15" s="48">
        <v>18</v>
      </c>
      <c r="Q15" s="45"/>
      <c r="R15" s="49"/>
      <c r="S15" s="2">
        <f t="shared" si="2"/>
        <v>-0.29389262614623646</v>
      </c>
      <c r="T15" s="2">
        <f t="shared" si="3"/>
        <v>0.2938926261462365</v>
      </c>
      <c r="U15" s="2">
        <f t="shared" si="4"/>
        <v>-0.9045084971874736</v>
      </c>
      <c r="V15" s="3">
        <f t="shared" si="5"/>
        <v>135</v>
      </c>
      <c r="W15" s="4">
        <f t="shared" si="6"/>
        <v>-65.32094261067616</v>
      </c>
      <c r="X15" s="5">
        <f t="shared" si="7"/>
        <v>135</v>
      </c>
      <c r="Y15" s="3">
        <f t="shared" si="8"/>
        <v>45</v>
      </c>
      <c r="Z15" s="6">
        <f t="shared" si="9"/>
        <v>24.679057389323845</v>
      </c>
      <c r="AA15" s="7">
        <f t="shared" si="10"/>
        <v>47.739804730092345</v>
      </c>
      <c r="AB15" s="8">
        <f t="shared" si="19"/>
        <v>47.739804730092345</v>
      </c>
      <c r="AC15" s="9">
        <f t="shared" si="20"/>
        <v>0.6724985119639574</v>
      </c>
      <c r="AD15" s="9">
        <f t="shared" si="11"/>
        <v>0.6724985119639573</v>
      </c>
      <c r="AE15" s="9">
        <f t="shared" si="12"/>
        <v>0.30901699437494756</v>
      </c>
      <c r="AF15" s="10">
        <f t="shared" si="13"/>
        <v>90</v>
      </c>
      <c r="AG15" s="8">
        <f t="shared" si="14"/>
        <v>18.00000000000001</v>
      </c>
      <c r="AH15" s="9">
        <f t="shared" si="15"/>
        <v>6.330184230905928E-05</v>
      </c>
      <c r="AI15" s="11"/>
      <c r="AJ15" s="16"/>
      <c r="AK15" s="77">
        <v>245.9</v>
      </c>
      <c r="AL15" s="78">
        <v>48.4</v>
      </c>
      <c r="AM15" s="5">
        <f t="shared" si="16"/>
        <v>249.1</v>
      </c>
      <c r="AN15" s="3">
        <f t="shared" si="17"/>
        <v>159.1</v>
      </c>
      <c r="AO15" s="6">
        <f t="shared" si="18"/>
        <v>24.679057389323845</v>
      </c>
      <c r="AP15" s="10"/>
      <c r="AQ15" s="7"/>
      <c r="AR15" s="10"/>
      <c r="AS15" s="17"/>
      <c r="AT15" s="43"/>
    </row>
    <row r="16" spans="1:46" ht="18" customHeight="1" thickBot="1">
      <c r="A16" s="61" t="s">
        <v>45</v>
      </c>
      <c r="B16" s="63" t="s">
        <v>96</v>
      </c>
      <c r="C16" s="63">
        <v>1</v>
      </c>
      <c r="D16" s="64">
        <v>7</v>
      </c>
      <c r="E16" s="82" t="s">
        <v>47</v>
      </c>
      <c r="F16" s="83" t="s">
        <v>54</v>
      </c>
      <c r="G16" s="83">
        <f t="shared" si="22"/>
        <v>5.398000000000001</v>
      </c>
      <c r="H16" s="83">
        <f t="shared" si="22"/>
        <v>5.566000000000001</v>
      </c>
      <c r="I16" s="20">
        <f t="shared" si="0"/>
        <v>5.482000000000001</v>
      </c>
      <c r="J16" s="84">
        <v>90</v>
      </c>
      <c r="K16" s="84">
        <v>110</v>
      </c>
      <c r="L16" s="64">
        <f t="shared" si="1"/>
        <v>100</v>
      </c>
      <c r="M16" s="85">
        <v>180</v>
      </c>
      <c r="N16" s="86">
        <v>0</v>
      </c>
      <c r="O16" s="86">
        <v>270</v>
      </c>
      <c r="P16" s="86">
        <v>61</v>
      </c>
      <c r="Q16" s="83"/>
      <c r="R16" s="87"/>
      <c r="S16" s="21">
        <f t="shared" si="2"/>
        <v>1.0715389828344604E-16</v>
      </c>
      <c r="T16" s="21">
        <f t="shared" si="3"/>
        <v>0.8746197071393957</v>
      </c>
      <c r="U16" s="21">
        <f t="shared" si="4"/>
        <v>0.4848096202463371</v>
      </c>
      <c r="V16" s="22">
        <f t="shared" si="5"/>
        <v>90</v>
      </c>
      <c r="W16" s="23">
        <f t="shared" si="6"/>
        <v>29.00000000000001</v>
      </c>
      <c r="X16" s="24">
        <f t="shared" si="7"/>
        <v>270</v>
      </c>
      <c r="Y16" s="22">
        <f t="shared" si="8"/>
        <v>180</v>
      </c>
      <c r="Z16" s="25">
        <f t="shared" si="9"/>
        <v>60.999999999999986</v>
      </c>
      <c r="AA16" s="26">
        <f t="shared" si="10"/>
        <v>90</v>
      </c>
      <c r="AB16" s="27">
        <f t="shared" si="19"/>
        <v>90</v>
      </c>
      <c r="AC16" s="28">
        <f t="shared" si="20"/>
        <v>6.1257422745431E-17</v>
      </c>
      <c r="AD16" s="28">
        <f t="shared" si="11"/>
        <v>0.4848096202463373</v>
      </c>
      <c r="AE16" s="28">
        <f t="shared" si="12"/>
        <v>0.8746197071393956</v>
      </c>
      <c r="AF16" s="29">
        <f t="shared" si="13"/>
        <v>270</v>
      </c>
      <c r="AG16" s="27">
        <f t="shared" si="14"/>
        <v>60.999999999999986</v>
      </c>
      <c r="AH16" s="28">
        <f t="shared" si="15"/>
        <v>1.6319838182169015E-20</v>
      </c>
      <c r="AI16" s="61"/>
      <c r="AJ16" s="66"/>
      <c r="AK16" s="79">
        <v>245.9</v>
      </c>
      <c r="AL16" s="80">
        <v>48.4</v>
      </c>
      <c r="AM16" s="24">
        <f t="shared" si="16"/>
        <v>24.099999999999994</v>
      </c>
      <c r="AN16" s="22">
        <f t="shared" si="17"/>
        <v>294.1</v>
      </c>
      <c r="AO16" s="25">
        <f t="shared" si="18"/>
        <v>60.999999999999986</v>
      </c>
      <c r="AP16" s="29"/>
      <c r="AQ16" s="26"/>
      <c r="AR16" s="29"/>
      <c r="AS16" s="71"/>
      <c r="AT16" s="43"/>
    </row>
    <row r="17" spans="2:16" ht="15">
      <c r="B17" s="18"/>
      <c r="C17" s="18"/>
      <c r="D17" s="18"/>
      <c r="E17" s="18"/>
      <c r="F17" s="18"/>
      <c r="J17" s="18"/>
      <c r="K17" s="18"/>
      <c r="L17" s="18"/>
      <c r="M17" s="18"/>
      <c r="N17" s="18"/>
      <c r="O17" s="18"/>
      <c r="P17" s="18"/>
    </row>
    <row r="18" spans="2:16" ht="15">
      <c r="B18" s="18"/>
      <c r="C18" s="18"/>
      <c r="D18" s="18"/>
      <c r="E18" s="18"/>
      <c r="F18" s="18"/>
      <c r="J18" s="18"/>
      <c r="K18" s="18"/>
      <c r="L18" s="18"/>
      <c r="M18" s="18"/>
      <c r="N18" s="18"/>
      <c r="O18" s="18"/>
      <c r="P18" s="18"/>
    </row>
    <row r="19" spans="2:16" ht="15">
      <c r="B19" s="18"/>
      <c r="C19" s="18"/>
      <c r="D19" s="18"/>
      <c r="E19" s="18"/>
      <c r="F19" s="18"/>
      <c r="J19" s="18"/>
      <c r="K19" s="18"/>
      <c r="L19" s="18"/>
      <c r="M19" s="18"/>
      <c r="N19" s="18"/>
      <c r="O19" s="18"/>
      <c r="P19" s="18"/>
    </row>
    <row r="20" spans="2:16" ht="15">
      <c r="B20" s="18"/>
      <c r="C20" s="18"/>
      <c r="D20" s="18"/>
      <c r="E20" s="18"/>
      <c r="F20" s="18"/>
      <c r="J20" s="18"/>
      <c r="K20" s="18"/>
      <c r="L20" s="18"/>
      <c r="M20" s="18"/>
      <c r="N20" s="18"/>
      <c r="O20" s="18"/>
      <c r="P20" s="18"/>
    </row>
    <row r="21" spans="2:16" ht="15">
      <c r="B21" s="18"/>
      <c r="C21" s="18"/>
      <c r="D21" s="18"/>
      <c r="E21" s="18"/>
      <c r="F21" s="18"/>
      <c r="J21" s="18"/>
      <c r="K21" s="18"/>
      <c r="L21" s="18"/>
      <c r="M21" s="18"/>
      <c r="N21" s="18"/>
      <c r="O21" s="18"/>
      <c r="P21" s="18"/>
    </row>
    <row r="22" spans="2:16" ht="15">
      <c r="B22" s="18"/>
      <c r="C22" s="18"/>
      <c r="D22" s="18"/>
      <c r="E22" s="18"/>
      <c r="F22" s="18"/>
      <c r="J22" s="18"/>
      <c r="K22" s="18"/>
      <c r="L22" s="18"/>
      <c r="M22" s="18"/>
      <c r="N22" s="18"/>
      <c r="O22" s="18"/>
      <c r="P22" s="18"/>
    </row>
  </sheetData>
  <sheetProtection/>
  <mergeCells count="17">
    <mergeCell ref="AA1:AH1"/>
    <mergeCell ref="AI1:AJ1"/>
    <mergeCell ref="AK1:AL1"/>
    <mergeCell ref="AM1:AO1"/>
    <mergeCell ref="AP1:AS1"/>
    <mergeCell ref="L1:L2"/>
    <mergeCell ref="M1:N1"/>
    <mergeCell ref="O1:P1"/>
    <mergeCell ref="Q1:R1"/>
    <mergeCell ref="S1:W1"/>
    <mergeCell ref="X1:Z1"/>
    <mergeCell ref="B1:B2"/>
    <mergeCell ref="C1:C2"/>
    <mergeCell ref="D1:D2"/>
    <mergeCell ref="E1:E2"/>
    <mergeCell ref="J1:J2"/>
    <mergeCell ref="K1:K2"/>
  </mergeCells>
  <dataValidations count="1">
    <dataValidation type="list" allowBlank="1" showInputMessage="1" showErrorMessage="1" sqref="AS3:AS16">
      <formula1>"N,R,SS"</formula1>
    </dataValidation>
  </dataValidations>
  <printOptions/>
  <pageMargins left="0.75" right="0.75" top="1" bottom="1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86"/>
  <sheetViews>
    <sheetView zoomScale="45" zoomScaleNormal="45" zoomScalePageLayoutView="130" workbookViewId="0" topLeftCell="A1">
      <selection activeCell="M28" sqref="M28"/>
    </sheetView>
  </sheetViews>
  <sheetFormatPr defaultColWidth="12.50390625" defaultRowHeight="15.75"/>
  <cols>
    <col min="1" max="1" width="6.00390625" style="18" customWidth="1"/>
    <col min="2" max="4" width="3.50390625" style="72" customWidth="1"/>
    <col min="5" max="6" width="12.50390625" style="72" customWidth="1"/>
    <col min="7" max="7" width="9.875" style="18" customWidth="1"/>
    <col min="8" max="8" width="13.125" style="18" customWidth="1"/>
    <col min="9" max="9" width="9.875" style="18" customWidth="1"/>
    <col min="10" max="11" width="9.875" style="73" customWidth="1"/>
    <col min="12" max="12" width="9.875" style="72" customWidth="1"/>
    <col min="13" max="16" width="7.875" style="74" customWidth="1"/>
    <col min="17" max="18" width="7.875" style="18" customWidth="1"/>
    <col min="19" max="28" width="6.875" style="18" customWidth="1"/>
    <col min="29" max="29" width="8.125" style="18" customWidth="1"/>
    <col min="30" max="34" width="6.875" style="18" customWidth="1"/>
    <col min="35" max="36" width="7.875" style="18" customWidth="1"/>
    <col min="37" max="38" width="7.875" style="81" customWidth="1"/>
    <col min="39" max="44" width="7.875" style="18" customWidth="1"/>
    <col min="45" max="45" width="9.875" style="18" customWidth="1"/>
    <col min="46" max="46" width="9.00390625" style="18" customWidth="1"/>
    <col min="47" max="16384" width="12.50390625" style="18" customWidth="1"/>
  </cols>
  <sheetData>
    <row r="1" spans="1:45" ht="27" customHeight="1">
      <c r="A1" s="30"/>
      <c r="B1" s="190" t="s">
        <v>0</v>
      </c>
      <c r="C1" s="190" t="s">
        <v>1</v>
      </c>
      <c r="D1" s="192" t="s">
        <v>2</v>
      </c>
      <c r="E1" s="194" t="s">
        <v>3</v>
      </c>
      <c r="F1" s="31" t="s">
        <v>52</v>
      </c>
      <c r="G1" s="31" t="s">
        <v>4</v>
      </c>
      <c r="H1" s="31" t="s">
        <v>5</v>
      </c>
      <c r="I1" s="31" t="s">
        <v>6</v>
      </c>
      <c r="J1" s="196" t="s">
        <v>7</v>
      </c>
      <c r="K1" s="196" t="s">
        <v>8</v>
      </c>
      <c r="L1" s="206" t="s">
        <v>9</v>
      </c>
      <c r="M1" s="208" t="s">
        <v>10</v>
      </c>
      <c r="N1" s="209"/>
      <c r="O1" s="210" t="s">
        <v>11</v>
      </c>
      <c r="P1" s="211"/>
      <c r="Q1" s="212" t="s">
        <v>12</v>
      </c>
      <c r="R1" s="213"/>
      <c r="S1" s="199" t="s">
        <v>13</v>
      </c>
      <c r="T1" s="214"/>
      <c r="U1" s="214"/>
      <c r="V1" s="214"/>
      <c r="W1" s="214"/>
      <c r="X1" s="187" t="s">
        <v>14</v>
      </c>
      <c r="Y1" s="188"/>
      <c r="Z1" s="189"/>
      <c r="AA1" s="198" t="s">
        <v>15</v>
      </c>
      <c r="AB1" s="199"/>
      <c r="AC1" s="199"/>
      <c r="AD1" s="199"/>
      <c r="AE1" s="199"/>
      <c r="AF1" s="199"/>
      <c r="AG1" s="199"/>
      <c r="AH1" s="200"/>
      <c r="AI1" s="201" t="s">
        <v>16</v>
      </c>
      <c r="AJ1" s="202"/>
      <c r="AK1" s="203" t="s">
        <v>17</v>
      </c>
      <c r="AL1" s="204"/>
      <c r="AM1" s="198" t="s">
        <v>18</v>
      </c>
      <c r="AN1" s="199"/>
      <c r="AO1" s="200"/>
      <c r="AP1" s="205" t="s">
        <v>15</v>
      </c>
      <c r="AQ1" s="199"/>
      <c r="AR1" s="199"/>
      <c r="AS1" s="200"/>
    </row>
    <row r="2" spans="1:46" ht="18" customHeight="1">
      <c r="A2" s="32" t="s">
        <v>20</v>
      </c>
      <c r="B2" s="191"/>
      <c r="C2" s="191"/>
      <c r="D2" s="193"/>
      <c r="E2" s="195"/>
      <c r="F2" s="33" t="s">
        <v>53</v>
      </c>
      <c r="G2" s="33" t="s">
        <v>97</v>
      </c>
      <c r="H2" s="33" t="s">
        <v>97</v>
      </c>
      <c r="I2" s="33" t="s">
        <v>97</v>
      </c>
      <c r="J2" s="197"/>
      <c r="K2" s="197"/>
      <c r="L2" s="207"/>
      <c r="M2" s="34" t="s">
        <v>21</v>
      </c>
      <c r="N2" s="35" t="s">
        <v>22</v>
      </c>
      <c r="O2" s="35" t="s">
        <v>21</v>
      </c>
      <c r="P2" s="35" t="s">
        <v>22</v>
      </c>
      <c r="Q2" s="36" t="s">
        <v>23</v>
      </c>
      <c r="R2" s="37" t="s">
        <v>24</v>
      </c>
      <c r="S2" s="33" t="s">
        <v>25</v>
      </c>
      <c r="T2" s="33" t="s">
        <v>26</v>
      </c>
      <c r="U2" s="38" t="s">
        <v>27</v>
      </c>
      <c r="V2" s="33" t="s">
        <v>21</v>
      </c>
      <c r="W2" s="36" t="s">
        <v>22</v>
      </c>
      <c r="X2" s="39" t="s">
        <v>28</v>
      </c>
      <c r="Y2" s="40" t="s">
        <v>29</v>
      </c>
      <c r="Z2" s="37" t="s">
        <v>22</v>
      </c>
      <c r="AA2" s="36" t="s">
        <v>30</v>
      </c>
      <c r="AB2" s="36" t="s">
        <v>31</v>
      </c>
      <c r="AC2" s="36" t="s">
        <v>25</v>
      </c>
      <c r="AD2" s="36" t="s">
        <v>26</v>
      </c>
      <c r="AE2" s="36" t="s">
        <v>27</v>
      </c>
      <c r="AF2" s="36" t="s">
        <v>32</v>
      </c>
      <c r="AG2" s="41" t="s">
        <v>33</v>
      </c>
      <c r="AH2" s="37" t="s">
        <v>34</v>
      </c>
      <c r="AI2" s="39" t="s">
        <v>35</v>
      </c>
      <c r="AJ2" s="36" t="s">
        <v>36</v>
      </c>
      <c r="AK2" s="75" t="s">
        <v>37</v>
      </c>
      <c r="AL2" s="76" t="s">
        <v>38</v>
      </c>
      <c r="AM2" s="39" t="s">
        <v>28</v>
      </c>
      <c r="AN2" s="38" t="s">
        <v>39</v>
      </c>
      <c r="AO2" s="37" t="s">
        <v>22</v>
      </c>
      <c r="AP2" s="40" t="s">
        <v>23</v>
      </c>
      <c r="AQ2" s="36" t="s">
        <v>32</v>
      </c>
      <c r="AR2" s="41" t="s">
        <v>33</v>
      </c>
      <c r="AS2" s="37" t="s">
        <v>34</v>
      </c>
      <c r="AT2" s="43" t="s">
        <v>44</v>
      </c>
    </row>
    <row r="3" spans="1:45" ht="15">
      <c r="A3" s="11" t="s">
        <v>45</v>
      </c>
      <c r="B3" s="13" t="s">
        <v>46</v>
      </c>
      <c r="C3" s="13">
        <v>2</v>
      </c>
      <c r="D3" s="14">
        <v>1</v>
      </c>
      <c r="E3" s="19" t="s">
        <v>48</v>
      </c>
      <c r="F3" s="13"/>
      <c r="G3" s="45">
        <f aca="true" t="shared" si="0" ref="G3:H5">J3*0.93/100+11.5</f>
        <v>12.0208</v>
      </c>
      <c r="H3" s="45">
        <f t="shared" si="0"/>
        <v>12.0394</v>
      </c>
      <c r="I3" s="1">
        <f aca="true" t="shared" si="1" ref="I3:I34">(G3+H3)/2</f>
        <v>12.030100000000001</v>
      </c>
      <c r="J3" s="51">
        <v>56</v>
      </c>
      <c r="K3" s="51">
        <v>58</v>
      </c>
      <c r="L3" s="14">
        <f aca="true" t="shared" si="2" ref="L3:L14">(+J3+K3)/2</f>
        <v>57</v>
      </c>
      <c r="M3" s="52">
        <v>270</v>
      </c>
      <c r="N3" s="53">
        <v>25</v>
      </c>
      <c r="O3" s="53">
        <v>180</v>
      </c>
      <c r="P3" s="53">
        <v>3</v>
      </c>
      <c r="Q3" s="16"/>
      <c r="R3" s="54"/>
      <c r="S3" s="2">
        <f aca="true" t="shared" si="3" ref="S3:S34">COS(N3*PI()/180)*SIN(M3*PI()/180)*(SIN(P3*PI()/180))-(COS(P3*PI()/180)*SIN(O3*PI()/180))*(SIN(N3*PI()/180))</f>
        <v>-0.047432484684989416</v>
      </c>
      <c r="T3" s="2">
        <f aca="true" t="shared" si="4" ref="T3:T34">(SIN(N3*PI()/180))*(COS(P3*PI()/180)*COS(O3*PI()/180))-(SIN(P3*PI()/180))*(COS(N3*PI()/180)*COS(M3*PI()/180))</f>
        <v>-0.4220390781009014</v>
      </c>
      <c r="U3" s="2">
        <f aca="true" t="shared" si="5" ref="U3:U34">(COS(N3*PI()/180)*COS(M3*PI()/180))*(COS(P3*PI()/180)*SIN(O3*PI()/180))-(COS(N3*PI()/180)*SIN(M3*PI()/180))*(COS(P3*PI()/180)*COS(O3*PI()/180))</f>
        <v>-0.9050657237128571</v>
      </c>
      <c r="V3" s="3">
        <f aca="true" t="shared" si="6" ref="V3:V34">IF(S3=0,IF(T3&gt;=0,90,270),IF(S3&gt;0,IF(T3&gt;=0,ATAN(T3/S3)*180/PI(),ATAN(T3/S3)*180/PI()+360),ATAN(T3/S3)*180/PI()+180))</f>
        <v>263.58750244272267</v>
      </c>
      <c r="W3" s="4">
        <f aca="true" t="shared" si="7" ref="W3:W34">ASIN(U3/SQRT(S3^2+T3^2+U3^2))*180/PI()</f>
        <v>-64.86199045000285</v>
      </c>
      <c r="X3" s="5">
        <f aca="true" t="shared" si="8" ref="X3:X13">IF(U3&lt;0,V3,IF(V3+180&gt;=360,V3-180,V3+180))</f>
        <v>263.58750244272267</v>
      </c>
      <c r="Y3" s="3">
        <f aca="true" t="shared" si="9" ref="Y3:Y34">IF(X3-90&lt;0,X3+270,X3-90)</f>
        <v>173.58750244272267</v>
      </c>
      <c r="Z3" s="6">
        <f aca="true" t="shared" si="10" ref="Z3:Z34">IF(U3&lt;0,90+W3,90-W3)</f>
        <v>25.13800954999715</v>
      </c>
      <c r="AA3" s="7">
        <f aca="true" t="shared" si="11" ref="AA3:AA34">IF(-T3&lt;0,180-ACOS(SIN((X3-90)*PI()/180)*U3/SQRT(T3^2+U3^2))*180/PI(),ACOS(SIN((X3-90)*PI()/180)*U3/SQRT(T3^2+U3^2))*180/PI())</f>
        <v>95.80952077044344</v>
      </c>
      <c r="AB3" s="8">
        <f aca="true" t="shared" si="12" ref="AB3:AB34">IF(R3=90,IF(AA3-Q3&lt;0,AA3-Q3+180,AA3-Q3),IF(AA3+Q3&gt;180,AA3+Q3-180,AA3+Q3))</f>
        <v>95.80952077044344</v>
      </c>
      <c r="AC3" s="9">
        <f aca="true" t="shared" si="13" ref="AC3:AC34">COS(AB3*PI()/180)</f>
        <v>-0.1012216139121358</v>
      </c>
      <c r="AD3" s="9">
        <f aca="true" t="shared" si="14" ref="AD3:AD34">SIN(AB3*PI()/180)*COS(Z3*PI()/180)</f>
        <v>0.9006375462528154</v>
      </c>
      <c r="AE3" s="9">
        <f aca="true" t="shared" si="15" ref="AE3:AE34">SIN(AB3*PI()/180)*SIN(Z3*PI()/180)</f>
        <v>0.42261826174069933</v>
      </c>
      <c r="AF3" s="10">
        <f aca="true" t="shared" si="16" ref="AF3:AF34">IF(IF(AC3=0,IF(AD3&gt;=0,90,270),IF(AC3&gt;0,IF(AD3&gt;=0,ATAN(AD3/AC3)*180/PI(),ATAN(AD3/AC3)*180/PI()+360),ATAN(AD3/AC3)*180/PI()+180))-(360-Y3)&lt;0,IF(AC3=0,IF(AD3&gt;=0,90,270),IF(AC3&gt;0,IF(AD3&gt;=0,ATAN(AD3/AC3)*180/PI(),ATAN(AD3/AC3)*180/PI()+360),ATAN(AD3/AC3)*180/PI()+180))+Y3,IF(AC3=0,IF(AD3&gt;=0,90,270),IF(AC3&gt;0,IF(AD3&gt;=0,ATAN(AD3/AC3)*180/PI(),ATAN(AD3/AC3)*180/PI()+360),ATAN(AD3/AC3)*180/PI()+180))-(360-Y3))</f>
        <v>270</v>
      </c>
      <c r="AG3" s="8">
        <f aca="true" t="shared" si="17" ref="AG3:AG34">ASIN(AE3/SQRT(AC3^2+AD3^2+AE3^2))*180/PI()</f>
        <v>24.999999999999993</v>
      </c>
      <c r="AH3" s="9">
        <f aca="true" t="shared" si="18" ref="AH3:AH34">SIN(AE3*PI()/180)*SIN(AC3*PI()/180)</f>
        <v>-1.3030830274091897E-05</v>
      </c>
      <c r="AI3" s="11"/>
      <c r="AJ3" s="16"/>
      <c r="AK3" s="77">
        <v>38</v>
      </c>
      <c r="AL3" s="78">
        <v>47</v>
      </c>
      <c r="AM3" s="5">
        <f aca="true" t="shared" si="19" ref="AM3:AM34">IF(AL3&gt;=0,IF(X3&gt;=AK3,X3-AK3,X3-AK3+360),IF((X3-AK3-180)&lt;0,IF(X3-AK3+180&lt;0,X3-AK3+540,X3-AK3+180),X3-AK3-180))</f>
        <v>225.58750244272267</v>
      </c>
      <c r="AN3" s="3">
        <f aca="true" t="shared" si="20" ref="AN3:AN34">IF(AM3-90&lt;0,AM3+270,AM3-90)</f>
        <v>135.58750244272267</v>
      </c>
      <c r="AO3" s="6">
        <f aca="true" t="shared" si="21" ref="AO3:AO34">Z3</f>
        <v>25.13800954999715</v>
      </c>
      <c r="AP3" s="10"/>
      <c r="AQ3" s="7"/>
      <c r="AR3" s="10"/>
      <c r="AS3" s="17"/>
    </row>
    <row r="4" spans="1:46" ht="15">
      <c r="A4" s="11" t="s">
        <v>45</v>
      </c>
      <c r="B4" s="13" t="s">
        <v>46</v>
      </c>
      <c r="C4" s="13">
        <v>2</v>
      </c>
      <c r="D4" s="14">
        <v>1</v>
      </c>
      <c r="E4" s="19" t="s">
        <v>47</v>
      </c>
      <c r="F4" s="13" t="s">
        <v>54</v>
      </c>
      <c r="G4" s="45">
        <f t="shared" si="0"/>
        <v>11.8534</v>
      </c>
      <c r="H4" s="45">
        <f t="shared" si="0"/>
        <v>12.3649</v>
      </c>
      <c r="I4" s="1">
        <f t="shared" si="1"/>
        <v>12.10915</v>
      </c>
      <c r="J4" s="51">
        <v>38</v>
      </c>
      <c r="K4" s="51">
        <v>93</v>
      </c>
      <c r="L4" s="14">
        <f t="shared" si="2"/>
        <v>65.5</v>
      </c>
      <c r="M4" s="52">
        <v>90</v>
      </c>
      <c r="N4" s="53">
        <v>86</v>
      </c>
      <c r="O4" s="53">
        <v>270</v>
      </c>
      <c r="P4" s="53">
        <v>1</v>
      </c>
      <c r="Q4" s="16"/>
      <c r="R4" s="54"/>
      <c r="S4" s="2">
        <f t="shared" si="3"/>
        <v>0.9986295347545738</v>
      </c>
      <c r="T4" s="2">
        <f t="shared" si="4"/>
        <v>-1.8337126291083107E-16</v>
      </c>
      <c r="U4" s="2">
        <f t="shared" si="5"/>
        <v>8.544901974545736E-18</v>
      </c>
      <c r="V4" s="3">
        <f t="shared" si="6"/>
        <v>360</v>
      </c>
      <c r="W4" s="4">
        <f t="shared" si="7"/>
        <v>4.902587020068424E-16</v>
      </c>
      <c r="X4" s="5">
        <f t="shared" si="8"/>
        <v>180</v>
      </c>
      <c r="Y4" s="3">
        <f t="shared" si="9"/>
        <v>90</v>
      </c>
      <c r="Z4" s="6">
        <f t="shared" si="10"/>
        <v>90</v>
      </c>
      <c r="AA4" s="7">
        <f t="shared" si="11"/>
        <v>87.33200884281817</v>
      </c>
      <c r="AB4" s="8">
        <f t="shared" si="12"/>
        <v>87.33200884281817</v>
      </c>
      <c r="AC4" s="9">
        <f t="shared" si="13"/>
        <v>0.04654840387288</v>
      </c>
      <c r="AD4" s="9">
        <f t="shared" si="14"/>
        <v>6.119102187742697E-17</v>
      </c>
      <c r="AE4" s="9">
        <f t="shared" si="15"/>
        <v>0.9989160355589889</v>
      </c>
      <c r="AF4" s="10">
        <f t="shared" si="16"/>
        <v>90.00000000000007</v>
      </c>
      <c r="AG4" s="8">
        <f t="shared" si="17"/>
        <v>87.33200884281814</v>
      </c>
      <c r="AH4" s="9">
        <f t="shared" si="18"/>
        <v>1.4163365564774137E-05</v>
      </c>
      <c r="AI4" s="11"/>
      <c r="AJ4" s="16"/>
      <c r="AK4" s="77">
        <v>38</v>
      </c>
      <c r="AL4" s="78">
        <v>47</v>
      </c>
      <c r="AM4" s="5">
        <f t="shared" si="19"/>
        <v>142</v>
      </c>
      <c r="AN4" s="3">
        <f t="shared" si="20"/>
        <v>52</v>
      </c>
      <c r="AO4" s="6">
        <f t="shared" si="21"/>
        <v>90</v>
      </c>
      <c r="AP4" s="10"/>
      <c r="AQ4" s="7"/>
      <c r="AR4" s="10"/>
      <c r="AS4" s="17"/>
      <c r="AT4" s="18" t="s">
        <v>93</v>
      </c>
    </row>
    <row r="5" spans="1:46" ht="15">
      <c r="A5" s="11" t="s">
        <v>45</v>
      </c>
      <c r="B5" s="13" t="s">
        <v>46</v>
      </c>
      <c r="C5" s="13">
        <v>2</v>
      </c>
      <c r="D5" s="14">
        <v>1</v>
      </c>
      <c r="E5" s="19" t="s">
        <v>47</v>
      </c>
      <c r="F5" s="13" t="s">
        <v>91</v>
      </c>
      <c r="G5" s="45">
        <f t="shared" si="0"/>
        <v>12.337</v>
      </c>
      <c r="H5" s="45">
        <f t="shared" si="0"/>
        <v>12.6067</v>
      </c>
      <c r="I5" s="1">
        <f t="shared" si="1"/>
        <v>12.47185</v>
      </c>
      <c r="J5" s="51">
        <v>90</v>
      </c>
      <c r="K5" s="51">
        <v>119</v>
      </c>
      <c r="L5" s="14">
        <f t="shared" si="2"/>
        <v>104.5</v>
      </c>
      <c r="M5" s="52">
        <v>90</v>
      </c>
      <c r="N5" s="53">
        <v>85</v>
      </c>
      <c r="O5" s="53">
        <v>189</v>
      </c>
      <c r="P5" s="53">
        <v>0</v>
      </c>
      <c r="Q5" s="16"/>
      <c r="R5" s="54"/>
      <c r="S5" s="2">
        <f t="shared" si="3"/>
        <v>0.15583918467189636</v>
      </c>
      <c r="T5" s="2">
        <f t="shared" si="4"/>
        <v>-0.9839298882679104</v>
      </c>
      <c r="U5" s="2">
        <f t="shared" si="5"/>
        <v>0.08608271092777119</v>
      </c>
      <c r="V5" s="3">
        <f t="shared" si="6"/>
        <v>279</v>
      </c>
      <c r="W5" s="4">
        <f t="shared" si="7"/>
        <v>4.938748051134487</v>
      </c>
      <c r="X5" s="5">
        <f t="shared" si="8"/>
        <v>99</v>
      </c>
      <c r="Y5" s="3">
        <f t="shared" si="9"/>
        <v>9</v>
      </c>
      <c r="Z5" s="6">
        <f t="shared" si="10"/>
        <v>85.06125194886552</v>
      </c>
      <c r="AA5" s="7">
        <f t="shared" si="11"/>
        <v>89.21879585633582</v>
      </c>
      <c r="AB5" s="8">
        <f t="shared" si="12"/>
        <v>89.21879585633582</v>
      </c>
      <c r="AC5" s="9">
        <f t="shared" si="13"/>
        <v>0.013634161991913883</v>
      </c>
      <c r="AD5" s="9">
        <f t="shared" si="14"/>
        <v>0.08608271092777124</v>
      </c>
      <c r="AE5" s="9">
        <f t="shared" si="15"/>
        <v>0.9961946980917455</v>
      </c>
      <c r="AF5" s="10">
        <f t="shared" si="16"/>
        <v>90.00000000000001</v>
      </c>
      <c r="AG5" s="8">
        <f t="shared" si="17"/>
        <v>85</v>
      </c>
      <c r="AH5" s="9">
        <f t="shared" si="18"/>
        <v>4.137190560420847E-06</v>
      </c>
      <c r="AI5" s="11"/>
      <c r="AJ5" s="16"/>
      <c r="AK5" s="77">
        <v>38</v>
      </c>
      <c r="AL5" s="78">
        <v>47</v>
      </c>
      <c r="AM5" s="5">
        <f t="shared" si="19"/>
        <v>61</v>
      </c>
      <c r="AN5" s="3">
        <f t="shared" si="20"/>
        <v>331</v>
      </c>
      <c r="AO5" s="6">
        <f t="shared" si="21"/>
        <v>85.06125194886552</v>
      </c>
      <c r="AP5" s="10"/>
      <c r="AQ5" s="7"/>
      <c r="AR5" s="10"/>
      <c r="AS5" s="17"/>
      <c r="AT5" s="18" t="s">
        <v>92</v>
      </c>
    </row>
    <row r="6" spans="1:45" ht="15">
      <c r="A6" s="11" t="s">
        <v>45</v>
      </c>
      <c r="B6" s="13" t="s">
        <v>46</v>
      </c>
      <c r="C6" s="13">
        <v>2</v>
      </c>
      <c r="D6" s="14">
        <v>2</v>
      </c>
      <c r="E6" s="19" t="s">
        <v>48</v>
      </c>
      <c r="F6" s="13"/>
      <c r="G6" s="45">
        <f aca="true" t="shared" si="22" ref="G6:H8">J6*0.93/100+12.806</f>
        <v>13.1129</v>
      </c>
      <c r="H6" s="45">
        <f t="shared" si="22"/>
        <v>13.131499999999999</v>
      </c>
      <c r="I6" s="1">
        <f t="shared" si="1"/>
        <v>13.1222</v>
      </c>
      <c r="J6" s="51">
        <v>33</v>
      </c>
      <c r="K6" s="51">
        <v>35</v>
      </c>
      <c r="L6" s="14">
        <f t="shared" si="2"/>
        <v>34</v>
      </c>
      <c r="M6" s="52">
        <v>270</v>
      </c>
      <c r="N6" s="53">
        <v>22</v>
      </c>
      <c r="O6" s="53">
        <v>180</v>
      </c>
      <c r="P6" s="53">
        <v>7</v>
      </c>
      <c r="Q6" s="16"/>
      <c r="R6" s="54"/>
      <c r="S6" s="2">
        <f t="shared" si="3"/>
        <v>-0.11299528757190817</v>
      </c>
      <c r="T6" s="2">
        <f t="shared" si="4"/>
        <v>-0.37181433267442887</v>
      </c>
      <c r="U6" s="2">
        <f t="shared" si="5"/>
        <v>-0.920272766714232</v>
      </c>
      <c r="V6" s="3">
        <f t="shared" si="6"/>
        <v>253.09584456650424</v>
      </c>
      <c r="W6" s="4">
        <f t="shared" si="7"/>
        <v>-67.10705101430317</v>
      </c>
      <c r="X6" s="5">
        <f t="shared" si="8"/>
        <v>253.09584456650424</v>
      </c>
      <c r="Y6" s="3">
        <f t="shared" si="9"/>
        <v>163.09584456650424</v>
      </c>
      <c r="Z6" s="6">
        <f t="shared" si="10"/>
        <v>22.892948985696833</v>
      </c>
      <c r="AA6" s="7">
        <f t="shared" si="11"/>
        <v>105.64038978856685</v>
      </c>
      <c r="AB6" s="8">
        <f t="shared" si="12"/>
        <v>105.64038978856685</v>
      </c>
      <c r="AC6" s="9">
        <f t="shared" si="13"/>
        <v>-0.26959872054772477</v>
      </c>
      <c r="AD6" s="9">
        <f t="shared" si="14"/>
        <v>0.8871225563857316</v>
      </c>
      <c r="AE6" s="9">
        <f t="shared" si="15"/>
        <v>0.3746065934159121</v>
      </c>
      <c r="AF6" s="10">
        <f t="shared" si="16"/>
        <v>270</v>
      </c>
      <c r="AG6" s="8">
        <f t="shared" si="17"/>
        <v>22.000000000000007</v>
      </c>
      <c r="AH6" s="9">
        <f t="shared" si="18"/>
        <v>-3.076403397761195E-05</v>
      </c>
      <c r="AI6" s="11"/>
      <c r="AJ6" s="16"/>
      <c r="AK6" s="77">
        <v>38</v>
      </c>
      <c r="AL6" s="78">
        <v>47</v>
      </c>
      <c r="AM6" s="5">
        <f t="shared" si="19"/>
        <v>215.09584456650424</v>
      </c>
      <c r="AN6" s="3">
        <f t="shared" si="20"/>
        <v>125.09584456650424</v>
      </c>
      <c r="AO6" s="6">
        <f t="shared" si="21"/>
        <v>22.892948985696833</v>
      </c>
      <c r="AP6" s="10"/>
      <c r="AQ6" s="7"/>
      <c r="AR6" s="10"/>
      <c r="AS6" s="17"/>
    </row>
    <row r="7" spans="1:46" ht="15">
      <c r="A7" s="11" t="s">
        <v>45</v>
      </c>
      <c r="B7" s="13" t="s">
        <v>46</v>
      </c>
      <c r="C7" s="13">
        <v>2</v>
      </c>
      <c r="D7" s="14">
        <v>2</v>
      </c>
      <c r="E7" s="19" t="s">
        <v>47</v>
      </c>
      <c r="F7" s="13" t="s">
        <v>85</v>
      </c>
      <c r="G7" s="45">
        <f t="shared" si="22"/>
        <v>13.1594</v>
      </c>
      <c r="H7" s="45">
        <f t="shared" si="22"/>
        <v>13.2152</v>
      </c>
      <c r="I7" s="1">
        <f t="shared" si="1"/>
        <v>13.1873</v>
      </c>
      <c r="J7" s="51">
        <v>38</v>
      </c>
      <c r="K7" s="51">
        <v>44</v>
      </c>
      <c r="L7" s="14">
        <f t="shared" si="2"/>
        <v>41</v>
      </c>
      <c r="M7" s="52">
        <v>180</v>
      </c>
      <c r="N7" s="53">
        <v>30</v>
      </c>
      <c r="O7" s="53">
        <v>270</v>
      </c>
      <c r="P7" s="53">
        <v>30</v>
      </c>
      <c r="Q7" s="16"/>
      <c r="R7" s="54"/>
      <c r="S7" s="2">
        <f t="shared" si="3"/>
        <v>0.43301270189221935</v>
      </c>
      <c r="T7" s="2">
        <f t="shared" si="4"/>
        <v>0.43301270189221924</v>
      </c>
      <c r="U7" s="2">
        <f t="shared" si="5"/>
        <v>0.7500000000000001</v>
      </c>
      <c r="V7" s="3">
        <f t="shared" si="6"/>
        <v>44.99999999999999</v>
      </c>
      <c r="W7" s="4">
        <f t="shared" si="7"/>
        <v>50.76847951640775</v>
      </c>
      <c r="X7" s="5">
        <f t="shared" si="8"/>
        <v>225</v>
      </c>
      <c r="Y7" s="3">
        <f t="shared" si="9"/>
        <v>135</v>
      </c>
      <c r="Z7" s="6">
        <f t="shared" si="10"/>
        <v>39.23152048359225</v>
      </c>
      <c r="AA7" s="7">
        <f t="shared" si="11"/>
        <v>127.76124390703504</v>
      </c>
      <c r="AB7" s="8">
        <f t="shared" si="12"/>
        <v>127.76124390703504</v>
      </c>
      <c r="AC7" s="9">
        <f t="shared" si="13"/>
        <v>-0.6123724356957944</v>
      </c>
      <c r="AD7" s="9">
        <f t="shared" si="14"/>
        <v>0.6123724356957948</v>
      </c>
      <c r="AE7" s="9">
        <f t="shared" si="15"/>
        <v>0.5</v>
      </c>
      <c r="AF7" s="10">
        <f t="shared" si="16"/>
        <v>270</v>
      </c>
      <c r="AG7" s="8">
        <f t="shared" si="17"/>
        <v>30.000000000000004</v>
      </c>
      <c r="AH7" s="9">
        <f t="shared" si="18"/>
        <v>-9.326669615457249E-05</v>
      </c>
      <c r="AI7" s="11"/>
      <c r="AJ7" s="16"/>
      <c r="AK7" s="77">
        <v>38</v>
      </c>
      <c r="AL7" s="78">
        <v>47</v>
      </c>
      <c r="AM7" s="5">
        <f t="shared" si="19"/>
        <v>187</v>
      </c>
      <c r="AN7" s="3">
        <f t="shared" si="20"/>
        <v>97</v>
      </c>
      <c r="AO7" s="6">
        <f t="shared" si="21"/>
        <v>39.23152048359225</v>
      </c>
      <c r="AP7" s="10"/>
      <c r="AQ7" s="7"/>
      <c r="AR7" s="10"/>
      <c r="AS7" s="17"/>
      <c r="AT7" s="18" t="s">
        <v>77</v>
      </c>
    </row>
    <row r="8" spans="1:46" ht="15">
      <c r="A8" s="11" t="s">
        <v>45</v>
      </c>
      <c r="B8" s="13" t="s">
        <v>46</v>
      </c>
      <c r="C8" s="13">
        <v>2</v>
      </c>
      <c r="D8" s="14">
        <v>2</v>
      </c>
      <c r="E8" s="19" t="s">
        <v>47</v>
      </c>
      <c r="F8" s="13" t="s">
        <v>85</v>
      </c>
      <c r="G8" s="45">
        <f t="shared" si="22"/>
        <v>13.187299999999999</v>
      </c>
      <c r="H8" s="45">
        <f t="shared" si="22"/>
        <v>13.2524</v>
      </c>
      <c r="I8" s="1">
        <f t="shared" si="1"/>
        <v>13.21985</v>
      </c>
      <c r="J8" s="51">
        <v>41</v>
      </c>
      <c r="K8" s="51">
        <v>48</v>
      </c>
      <c r="L8" s="14">
        <f t="shared" si="2"/>
        <v>44.5</v>
      </c>
      <c r="M8" s="52">
        <v>180</v>
      </c>
      <c r="N8" s="53">
        <v>51</v>
      </c>
      <c r="O8" s="53">
        <v>270</v>
      </c>
      <c r="P8" s="53">
        <v>40</v>
      </c>
      <c r="Q8" s="16"/>
      <c r="R8" s="54"/>
      <c r="S8" s="2">
        <f t="shared" si="3"/>
        <v>0.5953283452664679</v>
      </c>
      <c r="T8" s="2">
        <f t="shared" si="4"/>
        <v>0.4045193498899231</v>
      </c>
      <c r="U8" s="2">
        <f t="shared" si="5"/>
        <v>0.48208738850519023</v>
      </c>
      <c r="V8" s="3">
        <f t="shared" si="6"/>
        <v>34.19569571840036</v>
      </c>
      <c r="W8" s="4">
        <f t="shared" si="7"/>
        <v>33.81381313454226</v>
      </c>
      <c r="X8" s="5">
        <f t="shared" si="8"/>
        <v>214.19569571840037</v>
      </c>
      <c r="Y8" s="3">
        <f t="shared" si="9"/>
        <v>124.19569571840037</v>
      </c>
      <c r="Z8" s="6">
        <f t="shared" si="10"/>
        <v>56.18618686545774</v>
      </c>
      <c r="AA8" s="7">
        <f t="shared" si="11"/>
        <v>129.3171759119009</v>
      </c>
      <c r="AB8" s="8">
        <f t="shared" si="12"/>
        <v>129.3171759119009</v>
      </c>
      <c r="AC8" s="9">
        <f t="shared" si="13"/>
        <v>-0.6336128230533</v>
      </c>
      <c r="AD8" s="9">
        <f t="shared" si="14"/>
        <v>0.43053324993070247</v>
      </c>
      <c r="AE8" s="9">
        <f t="shared" si="15"/>
        <v>0.6427876096865393</v>
      </c>
      <c r="AF8" s="10">
        <f t="shared" si="16"/>
        <v>270</v>
      </c>
      <c r="AG8" s="8">
        <f t="shared" si="17"/>
        <v>39.99999999999999</v>
      </c>
      <c r="AH8" s="9">
        <f t="shared" si="18"/>
        <v>-0.00012405898619406686</v>
      </c>
      <c r="AI8" s="11"/>
      <c r="AJ8" s="16"/>
      <c r="AK8" s="77">
        <v>38</v>
      </c>
      <c r="AL8" s="78">
        <v>47</v>
      </c>
      <c r="AM8" s="5">
        <f t="shared" si="19"/>
        <v>176.19569571840037</v>
      </c>
      <c r="AN8" s="3">
        <f t="shared" si="20"/>
        <v>86.19569571840037</v>
      </c>
      <c r="AO8" s="6">
        <f t="shared" si="21"/>
        <v>56.18618686545774</v>
      </c>
      <c r="AP8" s="10"/>
      <c r="AQ8" s="7"/>
      <c r="AR8" s="10"/>
      <c r="AS8" s="17"/>
      <c r="AT8" s="18" t="s">
        <v>77</v>
      </c>
    </row>
    <row r="9" spans="1:46" ht="15">
      <c r="A9" s="11" t="s">
        <v>45</v>
      </c>
      <c r="B9" s="13" t="s">
        <v>46</v>
      </c>
      <c r="C9" s="13">
        <v>2</v>
      </c>
      <c r="D9" s="14">
        <v>3</v>
      </c>
      <c r="E9" s="19" t="s">
        <v>48</v>
      </c>
      <c r="F9" s="13"/>
      <c r="G9" s="45">
        <f>J9*0.93/100+13.292</f>
        <v>13.4315</v>
      </c>
      <c r="H9" s="45">
        <f>K9*0.93/100+13.292</f>
        <v>13.450099999999999</v>
      </c>
      <c r="I9" s="1">
        <f t="shared" si="1"/>
        <v>13.4408</v>
      </c>
      <c r="J9" s="51">
        <v>15</v>
      </c>
      <c r="K9" s="51">
        <v>17</v>
      </c>
      <c r="L9" s="14">
        <f t="shared" si="2"/>
        <v>16</v>
      </c>
      <c r="M9" s="52">
        <v>180</v>
      </c>
      <c r="N9" s="53">
        <v>9</v>
      </c>
      <c r="O9" s="53">
        <v>270</v>
      </c>
      <c r="P9" s="53">
        <v>10</v>
      </c>
      <c r="Q9" s="16"/>
      <c r="R9" s="54"/>
      <c r="S9" s="2">
        <f t="shared" si="3"/>
        <v>0.1540578740099366</v>
      </c>
      <c r="T9" s="2">
        <f t="shared" si="4"/>
        <v>0.17151028044722005</v>
      </c>
      <c r="U9" s="2">
        <f t="shared" si="5"/>
        <v>0.972683135377854</v>
      </c>
      <c r="V9" s="3">
        <f t="shared" si="6"/>
        <v>48.068460617139</v>
      </c>
      <c r="W9" s="4">
        <f t="shared" si="7"/>
        <v>76.66600617464948</v>
      </c>
      <c r="X9" s="5">
        <f t="shared" si="8"/>
        <v>228.068460617139</v>
      </c>
      <c r="Y9" s="3">
        <f t="shared" si="9"/>
        <v>138.068460617139</v>
      </c>
      <c r="Z9" s="6">
        <f t="shared" si="10"/>
        <v>13.333993825350518</v>
      </c>
      <c r="AA9" s="7">
        <f t="shared" si="11"/>
        <v>131.15437301464874</v>
      </c>
      <c r="AB9" s="8">
        <f t="shared" si="12"/>
        <v>131.15437301464874</v>
      </c>
      <c r="AC9" s="9">
        <f t="shared" si="13"/>
        <v>-0.6580900723921719</v>
      </c>
      <c r="AD9" s="9">
        <f t="shared" si="14"/>
        <v>0.7326416361440429</v>
      </c>
      <c r="AE9" s="9">
        <f t="shared" si="15"/>
        <v>0.1736481776669304</v>
      </c>
      <c r="AF9" s="10">
        <f t="shared" si="16"/>
        <v>270</v>
      </c>
      <c r="AG9" s="8">
        <f t="shared" si="17"/>
        <v>10.000000000000004</v>
      </c>
      <c r="AH9" s="9">
        <f t="shared" si="18"/>
        <v>-3.4809684784059486E-05</v>
      </c>
      <c r="AI9" s="11"/>
      <c r="AJ9" s="16"/>
      <c r="AK9" s="77">
        <v>38</v>
      </c>
      <c r="AL9" s="78">
        <v>47</v>
      </c>
      <c r="AM9" s="5">
        <f t="shared" si="19"/>
        <v>190.068460617139</v>
      </c>
      <c r="AN9" s="3">
        <f t="shared" si="20"/>
        <v>100.06846061713901</v>
      </c>
      <c r="AO9" s="6">
        <f t="shared" si="21"/>
        <v>13.333993825350518</v>
      </c>
      <c r="AP9" s="10"/>
      <c r="AQ9" s="7"/>
      <c r="AR9" s="10"/>
      <c r="AS9" s="17"/>
      <c r="AT9" s="18" t="s">
        <v>94</v>
      </c>
    </row>
    <row r="10" spans="1:45" ht="15">
      <c r="A10" s="11" t="s">
        <v>45</v>
      </c>
      <c r="B10" s="13" t="s">
        <v>46</v>
      </c>
      <c r="C10" s="13">
        <v>2</v>
      </c>
      <c r="D10" s="14">
        <v>3</v>
      </c>
      <c r="E10" s="19" t="s">
        <v>48</v>
      </c>
      <c r="F10" s="13"/>
      <c r="G10" s="45">
        <f>J10*0.93/100+13.292</f>
        <v>13.543099999999999</v>
      </c>
      <c r="H10" s="45">
        <f>K10*0.93/100+13.292</f>
        <v>13.5617</v>
      </c>
      <c r="I10" s="1">
        <f t="shared" si="1"/>
        <v>13.552399999999999</v>
      </c>
      <c r="J10" s="51">
        <v>27</v>
      </c>
      <c r="K10" s="51">
        <v>29</v>
      </c>
      <c r="L10" s="14">
        <f t="shared" si="2"/>
        <v>28</v>
      </c>
      <c r="M10" s="52">
        <v>180</v>
      </c>
      <c r="N10" s="53">
        <v>3</v>
      </c>
      <c r="O10" s="53">
        <v>270</v>
      </c>
      <c r="P10" s="53">
        <v>18</v>
      </c>
      <c r="Q10" s="16"/>
      <c r="R10" s="54"/>
      <c r="S10" s="2">
        <f t="shared" si="3"/>
        <v>0.049774452221389785</v>
      </c>
      <c r="T10" s="2">
        <f t="shared" si="4"/>
        <v>0.3085934973239105</v>
      </c>
      <c r="U10" s="2">
        <f t="shared" si="5"/>
        <v>0.9497531263931349</v>
      </c>
      <c r="V10" s="3">
        <f t="shared" si="6"/>
        <v>80.83741635087075</v>
      </c>
      <c r="W10" s="4">
        <f t="shared" si="7"/>
        <v>71.7826370412727</v>
      </c>
      <c r="X10" s="5">
        <f t="shared" si="8"/>
        <v>260.83741635087074</v>
      </c>
      <c r="Y10" s="3">
        <f t="shared" si="9"/>
        <v>170.83741635087074</v>
      </c>
      <c r="Z10" s="6">
        <f t="shared" si="10"/>
        <v>18.217362958727307</v>
      </c>
      <c r="AA10" s="7">
        <f t="shared" si="11"/>
        <v>98.71055548131163</v>
      </c>
      <c r="AB10" s="8">
        <f t="shared" si="12"/>
        <v>98.71055548131163</v>
      </c>
      <c r="AC10" s="9">
        <f t="shared" si="13"/>
        <v>-0.15144292583521451</v>
      </c>
      <c r="AD10" s="9">
        <f t="shared" si="14"/>
        <v>0.938921475631452</v>
      </c>
      <c r="AE10" s="9">
        <f t="shared" si="15"/>
        <v>0.3090169943749475</v>
      </c>
      <c r="AF10" s="10">
        <f t="shared" si="16"/>
        <v>270</v>
      </c>
      <c r="AG10" s="8">
        <f t="shared" si="17"/>
        <v>18.000000000000007</v>
      </c>
      <c r="AH10" s="9">
        <f t="shared" si="18"/>
        <v>-1.4255533649625628E-05</v>
      </c>
      <c r="AI10" s="11"/>
      <c r="AJ10" s="16"/>
      <c r="AK10" s="77">
        <v>38</v>
      </c>
      <c r="AL10" s="78">
        <v>47</v>
      </c>
      <c r="AM10" s="5">
        <f t="shared" si="19"/>
        <v>222.83741635087074</v>
      </c>
      <c r="AN10" s="3">
        <f t="shared" si="20"/>
        <v>132.83741635087074</v>
      </c>
      <c r="AO10" s="6">
        <f t="shared" si="21"/>
        <v>18.217362958727307</v>
      </c>
      <c r="AP10" s="10"/>
      <c r="AQ10" s="7"/>
      <c r="AR10" s="10"/>
      <c r="AS10" s="17"/>
    </row>
    <row r="11" spans="1:45" ht="15">
      <c r="A11" s="11" t="s">
        <v>45</v>
      </c>
      <c r="B11" s="13" t="s">
        <v>46</v>
      </c>
      <c r="C11" s="13">
        <v>2</v>
      </c>
      <c r="D11" s="14">
        <v>4</v>
      </c>
      <c r="E11" s="19" t="s">
        <v>48</v>
      </c>
      <c r="F11" s="13"/>
      <c r="G11" s="45">
        <f aca="true" t="shared" si="23" ref="G11:H14">J11*0.93/100+13.581</f>
        <v>13.9344</v>
      </c>
      <c r="H11" s="45">
        <f t="shared" si="23"/>
        <v>13.962299999999999</v>
      </c>
      <c r="I11" s="1">
        <f t="shared" si="1"/>
        <v>13.94835</v>
      </c>
      <c r="J11" s="51">
        <v>38</v>
      </c>
      <c r="K11" s="51">
        <v>41</v>
      </c>
      <c r="L11" s="14">
        <f t="shared" si="2"/>
        <v>39.5</v>
      </c>
      <c r="M11" s="52">
        <v>180</v>
      </c>
      <c r="N11" s="53">
        <v>5</v>
      </c>
      <c r="O11" s="53">
        <v>270</v>
      </c>
      <c r="P11" s="53">
        <v>18</v>
      </c>
      <c r="Q11" s="16"/>
      <c r="R11" s="54"/>
      <c r="S11" s="2">
        <f t="shared" si="3"/>
        <v>0.08289003707270441</v>
      </c>
      <c r="T11" s="2">
        <f t="shared" si="4"/>
        <v>0.30784109141656935</v>
      </c>
      <c r="U11" s="2">
        <f t="shared" si="5"/>
        <v>0.9474374591188377</v>
      </c>
      <c r="V11" s="3">
        <f t="shared" si="6"/>
        <v>74.92982099384011</v>
      </c>
      <c r="W11" s="4">
        <f t="shared" si="7"/>
        <v>71.40230937429271</v>
      </c>
      <c r="X11" s="5">
        <f t="shared" si="8"/>
        <v>254.9298209938401</v>
      </c>
      <c r="Y11" s="3">
        <f t="shared" si="9"/>
        <v>164.9298209938401</v>
      </c>
      <c r="Z11" s="6">
        <f t="shared" si="10"/>
        <v>18.597690625707287</v>
      </c>
      <c r="AA11" s="7">
        <f t="shared" si="11"/>
        <v>104.31641179481612</v>
      </c>
      <c r="AB11" s="8">
        <f t="shared" si="12"/>
        <v>104.31641179481612</v>
      </c>
      <c r="AC11" s="9">
        <f t="shared" si="13"/>
        <v>-0.24727656731236397</v>
      </c>
      <c r="AD11" s="9">
        <f t="shared" si="14"/>
        <v>0.9183478624386774</v>
      </c>
      <c r="AE11" s="9">
        <f t="shared" si="15"/>
        <v>0.30901699437494723</v>
      </c>
      <c r="AF11" s="10">
        <f t="shared" si="16"/>
        <v>270</v>
      </c>
      <c r="AG11" s="8">
        <f t="shared" si="17"/>
        <v>17.99999999999999</v>
      </c>
      <c r="AH11" s="9">
        <f t="shared" si="18"/>
        <v>-2.3276442714186432E-05</v>
      </c>
      <c r="AI11" s="11"/>
      <c r="AJ11" s="16"/>
      <c r="AK11" s="77">
        <v>38</v>
      </c>
      <c r="AL11" s="78">
        <v>47</v>
      </c>
      <c r="AM11" s="5">
        <f t="shared" si="19"/>
        <v>216.9298209938401</v>
      </c>
      <c r="AN11" s="3">
        <f t="shared" si="20"/>
        <v>126.92982099384011</v>
      </c>
      <c r="AO11" s="6">
        <f t="shared" si="21"/>
        <v>18.597690625707287</v>
      </c>
      <c r="AP11" s="10"/>
      <c r="AQ11" s="7"/>
      <c r="AR11" s="10"/>
      <c r="AS11" s="17"/>
    </row>
    <row r="12" spans="1:45" ht="15">
      <c r="A12" s="11" t="s">
        <v>45</v>
      </c>
      <c r="B12" s="13" t="s">
        <v>46</v>
      </c>
      <c r="C12" s="13">
        <v>2</v>
      </c>
      <c r="D12" s="14">
        <v>4</v>
      </c>
      <c r="E12" s="19" t="s">
        <v>48</v>
      </c>
      <c r="F12" s="13"/>
      <c r="G12" s="45">
        <f t="shared" si="23"/>
        <v>13.86</v>
      </c>
      <c r="H12" s="45">
        <f t="shared" si="23"/>
        <v>14.064599999999999</v>
      </c>
      <c r="I12" s="1">
        <f t="shared" si="1"/>
        <v>13.962299999999999</v>
      </c>
      <c r="J12" s="51">
        <v>30</v>
      </c>
      <c r="K12" s="51">
        <v>52</v>
      </c>
      <c r="L12" s="14">
        <f t="shared" si="2"/>
        <v>41</v>
      </c>
      <c r="M12" s="52">
        <v>180</v>
      </c>
      <c r="N12" s="53">
        <v>6</v>
      </c>
      <c r="O12" s="53">
        <v>270</v>
      </c>
      <c r="P12" s="53">
        <v>16</v>
      </c>
      <c r="Q12" s="16"/>
      <c r="R12" s="54"/>
      <c r="S12" s="2">
        <f t="shared" si="3"/>
        <v>0.10047920787449086</v>
      </c>
      <c r="T12" s="2">
        <f t="shared" si="4"/>
        <v>0.27412738554142113</v>
      </c>
      <c r="U12" s="2">
        <f t="shared" si="5"/>
        <v>0.9559958037894977</v>
      </c>
      <c r="V12" s="3">
        <f t="shared" si="6"/>
        <v>69.86999176520517</v>
      </c>
      <c r="W12" s="4">
        <f t="shared" si="7"/>
        <v>73.01727233987191</v>
      </c>
      <c r="X12" s="5">
        <f t="shared" si="8"/>
        <v>249.86999176520516</v>
      </c>
      <c r="Y12" s="3">
        <f t="shared" si="9"/>
        <v>159.86999176520516</v>
      </c>
      <c r="Z12" s="6">
        <f t="shared" si="10"/>
        <v>16.98272766012809</v>
      </c>
      <c r="AA12" s="7">
        <f t="shared" si="11"/>
        <v>109.31853220223142</v>
      </c>
      <c r="AB12" s="8">
        <f t="shared" si="12"/>
        <v>109.31853220223142</v>
      </c>
      <c r="AC12" s="9">
        <f t="shared" si="13"/>
        <v>-0.3308196458987015</v>
      </c>
      <c r="AD12" s="9">
        <f t="shared" si="14"/>
        <v>0.9025421929005153</v>
      </c>
      <c r="AE12" s="9">
        <f t="shared" si="15"/>
        <v>0.2756373558169989</v>
      </c>
      <c r="AF12" s="10">
        <f t="shared" si="16"/>
        <v>270</v>
      </c>
      <c r="AG12" s="8">
        <f t="shared" si="17"/>
        <v>15.999999999999982</v>
      </c>
      <c r="AH12" s="9">
        <f t="shared" si="18"/>
        <v>-2.777665946162914E-05</v>
      </c>
      <c r="AI12" s="11"/>
      <c r="AJ12" s="16"/>
      <c r="AK12" s="77">
        <v>38</v>
      </c>
      <c r="AL12" s="78">
        <v>47</v>
      </c>
      <c r="AM12" s="5">
        <f t="shared" si="19"/>
        <v>211.86999176520516</v>
      </c>
      <c r="AN12" s="3">
        <f t="shared" si="20"/>
        <v>121.86999176520516</v>
      </c>
      <c r="AO12" s="6">
        <f t="shared" si="21"/>
        <v>16.98272766012809</v>
      </c>
      <c r="AP12" s="10"/>
      <c r="AQ12" s="7"/>
      <c r="AR12" s="10"/>
      <c r="AS12" s="17"/>
    </row>
    <row r="13" spans="1:45" ht="15">
      <c r="A13" s="11" t="s">
        <v>45</v>
      </c>
      <c r="B13" s="13" t="s">
        <v>46</v>
      </c>
      <c r="C13" s="13">
        <v>2</v>
      </c>
      <c r="D13" s="14">
        <v>4</v>
      </c>
      <c r="E13" s="19" t="s">
        <v>47</v>
      </c>
      <c r="F13" s="13" t="s">
        <v>85</v>
      </c>
      <c r="G13" s="45">
        <f t="shared" si="23"/>
        <v>14.5389</v>
      </c>
      <c r="H13" s="45">
        <f t="shared" si="23"/>
        <v>14.7807</v>
      </c>
      <c r="I13" s="1">
        <f t="shared" si="1"/>
        <v>14.6598</v>
      </c>
      <c r="J13" s="55">
        <v>103</v>
      </c>
      <c r="K13" s="55">
        <v>129</v>
      </c>
      <c r="L13" s="14">
        <f t="shared" si="2"/>
        <v>116</v>
      </c>
      <c r="M13" s="52">
        <v>270</v>
      </c>
      <c r="N13" s="53">
        <v>80</v>
      </c>
      <c r="O13" s="53">
        <v>180</v>
      </c>
      <c r="P13" s="53">
        <v>66</v>
      </c>
      <c r="Q13" s="16"/>
      <c r="R13" s="54"/>
      <c r="S13" s="2">
        <f t="shared" si="3"/>
        <v>-0.15863550393553966</v>
      </c>
      <c r="T13" s="2">
        <f t="shared" si="4"/>
        <v>-0.4005573995352072</v>
      </c>
      <c r="U13" s="2">
        <f t="shared" si="5"/>
        <v>-0.07062907686047741</v>
      </c>
      <c r="V13" s="3">
        <f t="shared" si="6"/>
        <v>248.39460752472206</v>
      </c>
      <c r="W13" s="4">
        <f t="shared" si="7"/>
        <v>-9.310171417434795</v>
      </c>
      <c r="X13" s="5">
        <f t="shared" si="8"/>
        <v>248.39460752472206</v>
      </c>
      <c r="Y13" s="3">
        <f t="shared" si="9"/>
        <v>158.39460752472206</v>
      </c>
      <c r="Z13" s="6">
        <f t="shared" si="10"/>
        <v>80.68982858256521</v>
      </c>
      <c r="AA13" s="7">
        <f t="shared" si="11"/>
        <v>93.66595585175388</v>
      </c>
      <c r="AB13" s="8">
        <f t="shared" si="12"/>
        <v>93.66595585175388</v>
      </c>
      <c r="AC13" s="9">
        <f t="shared" si="13"/>
        <v>-0.06393935292135984</v>
      </c>
      <c r="AD13" s="9">
        <f t="shared" si="14"/>
        <v>0.16144797538229977</v>
      </c>
      <c r="AE13" s="9">
        <f t="shared" si="15"/>
        <v>0.984807753012208</v>
      </c>
      <c r="AF13" s="10">
        <f t="shared" si="16"/>
        <v>270</v>
      </c>
      <c r="AG13" s="8">
        <f t="shared" si="17"/>
        <v>79.99999999999999</v>
      </c>
      <c r="AH13" s="9">
        <f t="shared" si="18"/>
        <v>-1.9180192275575543E-05</v>
      </c>
      <c r="AI13" s="11"/>
      <c r="AJ13" s="16"/>
      <c r="AK13" s="77">
        <v>38</v>
      </c>
      <c r="AL13" s="78">
        <v>47</v>
      </c>
      <c r="AM13" s="5">
        <f t="shared" si="19"/>
        <v>210.39460752472206</v>
      </c>
      <c r="AN13" s="3">
        <f t="shared" si="20"/>
        <v>120.39460752472206</v>
      </c>
      <c r="AO13" s="6">
        <f t="shared" si="21"/>
        <v>80.68982858256521</v>
      </c>
      <c r="AP13" s="10"/>
      <c r="AQ13" s="7"/>
      <c r="AR13" s="10"/>
      <c r="AS13" s="17"/>
    </row>
    <row r="14" spans="1:45" ht="15">
      <c r="A14" s="11" t="s">
        <v>45</v>
      </c>
      <c r="B14" s="13" t="s">
        <v>46</v>
      </c>
      <c r="C14" s="13">
        <v>2</v>
      </c>
      <c r="D14" s="14">
        <v>4</v>
      </c>
      <c r="E14" s="19" t="s">
        <v>48</v>
      </c>
      <c r="F14" s="13"/>
      <c r="G14" s="45">
        <f t="shared" si="23"/>
        <v>14.7342</v>
      </c>
      <c r="H14" s="45">
        <f t="shared" si="23"/>
        <v>14.7621</v>
      </c>
      <c r="I14" s="1">
        <f t="shared" si="1"/>
        <v>14.748149999999999</v>
      </c>
      <c r="J14" s="51">
        <v>124</v>
      </c>
      <c r="K14" s="51">
        <v>127</v>
      </c>
      <c r="L14" s="14">
        <f t="shared" si="2"/>
        <v>125.5</v>
      </c>
      <c r="M14" s="52">
        <v>0</v>
      </c>
      <c r="N14" s="53">
        <v>3</v>
      </c>
      <c r="O14" s="53">
        <v>270</v>
      </c>
      <c r="P14" s="53">
        <v>21</v>
      </c>
      <c r="Q14" s="16"/>
      <c r="R14" s="54"/>
      <c r="S14" s="2">
        <f t="shared" si="3"/>
        <v>0.048859824350426385</v>
      </c>
      <c r="T14" s="2">
        <f t="shared" si="4"/>
        <v>-0.3578768187253738</v>
      </c>
      <c r="U14" s="2">
        <f t="shared" si="5"/>
        <v>-0.9323009869688772</v>
      </c>
      <c r="V14" s="3">
        <f t="shared" si="6"/>
        <v>277.77435120660937</v>
      </c>
      <c r="W14" s="4">
        <f t="shared" si="7"/>
        <v>-68.82238406112825</v>
      </c>
      <c r="X14" s="5">
        <v>270</v>
      </c>
      <c r="Y14" s="3">
        <f t="shared" si="9"/>
        <v>180</v>
      </c>
      <c r="Z14" s="6">
        <f t="shared" si="10"/>
        <v>21.177615938871753</v>
      </c>
      <c r="AA14" s="7">
        <f t="shared" si="11"/>
        <v>90.00000000000001</v>
      </c>
      <c r="AB14" s="8">
        <f t="shared" si="12"/>
        <v>90.00000000000001</v>
      </c>
      <c r="AC14" s="9">
        <f t="shared" si="13"/>
        <v>-3.828317871046316E-16</v>
      </c>
      <c r="AD14" s="9">
        <f t="shared" si="14"/>
        <v>0.9324650079466746</v>
      </c>
      <c r="AE14" s="9">
        <f t="shared" si="15"/>
        <v>0.36126030636510303</v>
      </c>
      <c r="AF14" s="10">
        <f t="shared" si="16"/>
        <v>270</v>
      </c>
      <c r="AG14" s="8">
        <f t="shared" si="17"/>
        <v>21.177615938871753</v>
      </c>
      <c r="AH14" s="9">
        <f t="shared" si="18"/>
        <v>-4.2128897528237286E-20</v>
      </c>
      <c r="AI14" s="11"/>
      <c r="AJ14" s="16"/>
      <c r="AK14" s="77">
        <v>38</v>
      </c>
      <c r="AL14" s="78">
        <v>47</v>
      </c>
      <c r="AM14" s="5">
        <f t="shared" si="19"/>
        <v>232</v>
      </c>
      <c r="AN14" s="3">
        <f t="shared" si="20"/>
        <v>142</v>
      </c>
      <c r="AO14" s="6">
        <f t="shared" si="21"/>
        <v>21.177615938871753</v>
      </c>
      <c r="AP14" s="10"/>
      <c r="AQ14" s="7"/>
      <c r="AR14" s="10"/>
      <c r="AS14" s="17"/>
    </row>
    <row r="15" spans="1:45" ht="15">
      <c r="A15" s="11" t="s">
        <v>45</v>
      </c>
      <c r="B15" s="13" t="s">
        <v>46</v>
      </c>
      <c r="C15" s="13">
        <v>2</v>
      </c>
      <c r="D15" s="14">
        <v>5</v>
      </c>
      <c r="E15" s="19" t="s">
        <v>48</v>
      </c>
      <c r="F15" s="13"/>
      <c r="G15" s="45">
        <f aca="true" t="shared" si="24" ref="G15:H22">J15*0.93/100+14.799</f>
        <v>15.0129</v>
      </c>
      <c r="H15" s="45">
        <f t="shared" si="24"/>
        <v>15.040799999999999</v>
      </c>
      <c r="I15" s="1">
        <f t="shared" si="1"/>
        <v>15.02685</v>
      </c>
      <c r="J15" s="55">
        <v>23</v>
      </c>
      <c r="K15" s="55">
        <v>26</v>
      </c>
      <c r="L15" s="14">
        <v>24.5</v>
      </c>
      <c r="M15" s="52">
        <v>0</v>
      </c>
      <c r="N15" s="53">
        <v>3</v>
      </c>
      <c r="O15" s="53">
        <v>270</v>
      </c>
      <c r="P15" s="53">
        <v>22</v>
      </c>
      <c r="Q15" s="16"/>
      <c r="R15" s="54"/>
      <c r="S15" s="2">
        <f t="shared" si="3"/>
        <v>0.04852505364177138</v>
      </c>
      <c r="T15" s="2">
        <f t="shared" si="4"/>
        <v>-0.37409320809892804</v>
      </c>
      <c r="U15" s="2">
        <f t="shared" si="5"/>
        <v>-0.9259131813179834</v>
      </c>
      <c r="V15" s="3">
        <f t="shared" si="6"/>
        <v>277.39078631932534</v>
      </c>
      <c r="W15" s="4">
        <f t="shared" si="7"/>
        <v>-67.83347501209849</v>
      </c>
      <c r="X15" s="5">
        <f aca="true" t="shared" si="25" ref="X15:X46">IF(U15&lt;0,V15,IF(V15+180&gt;=360,V15-180,V15+180))</f>
        <v>277.39078631932534</v>
      </c>
      <c r="Y15" s="3">
        <f t="shared" si="9"/>
        <v>187.39078631932534</v>
      </c>
      <c r="Z15" s="6">
        <f t="shared" si="10"/>
        <v>22.16652498790151</v>
      </c>
      <c r="AA15" s="7">
        <f t="shared" si="11"/>
        <v>83.15006408928221</v>
      </c>
      <c r="AB15" s="8">
        <f t="shared" si="12"/>
        <v>83.15006408928221</v>
      </c>
      <c r="AC15" s="9">
        <f t="shared" si="13"/>
        <v>0.11926933840089307</v>
      </c>
      <c r="AD15" s="9">
        <f t="shared" si="14"/>
        <v>0.9194806822803505</v>
      </c>
      <c r="AE15" s="9">
        <f t="shared" si="15"/>
        <v>0.374606593415912</v>
      </c>
      <c r="AF15" s="10">
        <f t="shared" si="16"/>
        <v>270</v>
      </c>
      <c r="AG15" s="8">
        <f t="shared" si="17"/>
        <v>21.999999999999996</v>
      </c>
      <c r="AH15" s="9">
        <f t="shared" si="18"/>
        <v>1.3609919444236416E-05</v>
      </c>
      <c r="AI15" s="11"/>
      <c r="AJ15" s="16"/>
      <c r="AK15" s="77">
        <v>38</v>
      </c>
      <c r="AL15" s="78">
        <v>47</v>
      </c>
      <c r="AM15" s="5">
        <f t="shared" si="19"/>
        <v>239.39078631932534</v>
      </c>
      <c r="AN15" s="3">
        <f t="shared" si="20"/>
        <v>149.39078631932534</v>
      </c>
      <c r="AO15" s="6">
        <f t="shared" si="21"/>
        <v>22.16652498790151</v>
      </c>
      <c r="AP15" s="10"/>
      <c r="AQ15" s="7"/>
      <c r="AR15" s="10"/>
      <c r="AS15" s="17"/>
    </row>
    <row r="16" spans="1:45" ht="15">
      <c r="A16" s="11" t="s">
        <v>45</v>
      </c>
      <c r="B16" s="13" t="s">
        <v>46</v>
      </c>
      <c r="C16" s="13">
        <v>2</v>
      </c>
      <c r="D16" s="14">
        <v>5</v>
      </c>
      <c r="E16" s="19" t="s">
        <v>47</v>
      </c>
      <c r="F16" s="13" t="s">
        <v>86</v>
      </c>
      <c r="G16" s="45">
        <f t="shared" si="24"/>
        <v>15.040799999999999</v>
      </c>
      <c r="H16" s="45">
        <f t="shared" si="24"/>
        <v>15.171</v>
      </c>
      <c r="I16" s="1">
        <f t="shared" si="1"/>
        <v>15.105899999999998</v>
      </c>
      <c r="J16" s="55">
        <v>26</v>
      </c>
      <c r="K16" s="55">
        <v>40</v>
      </c>
      <c r="L16" s="14">
        <f aca="true" t="shared" si="26" ref="L16:L47">(+J16+K16)/2</f>
        <v>33</v>
      </c>
      <c r="M16" s="52">
        <v>270</v>
      </c>
      <c r="N16" s="53">
        <v>67</v>
      </c>
      <c r="O16" s="53">
        <v>180</v>
      </c>
      <c r="P16" s="53">
        <v>48</v>
      </c>
      <c r="Q16" s="16"/>
      <c r="R16" s="54"/>
      <c r="S16" s="2">
        <f t="shared" si="3"/>
        <v>-0.2903698162897468</v>
      </c>
      <c r="T16" s="2">
        <f t="shared" si="4"/>
        <v>-0.6159379707469033</v>
      </c>
      <c r="U16" s="2">
        <f t="shared" si="5"/>
        <v>-0.26145015692930884</v>
      </c>
      <c r="V16" s="3">
        <f t="shared" si="6"/>
        <v>244.75954237889863</v>
      </c>
      <c r="W16" s="4">
        <f t="shared" si="7"/>
        <v>-21.004221957809783</v>
      </c>
      <c r="X16" s="5">
        <f t="shared" si="25"/>
        <v>244.75954237889863</v>
      </c>
      <c r="Y16" s="3">
        <f t="shared" si="9"/>
        <v>154.75954237889863</v>
      </c>
      <c r="Z16" s="6">
        <f t="shared" si="10"/>
        <v>68.99577804219021</v>
      </c>
      <c r="AA16" s="7">
        <f t="shared" si="11"/>
        <v>99.59105583692133</v>
      </c>
      <c r="AB16" s="8">
        <f t="shared" si="12"/>
        <v>99.59105583692133</v>
      </c>
      <c r="AC16" s="9">
        <f t="shared" si="13"/>
        <v>-0.1666148256801493</v>
      </c>
      <c r="AD16" s="9">
        <f t="shared" si="14"/>
        <v>0.353426533573917</v>
      </c>
      <c r="AE16" s="9">
        <f t="shared" si="15"/>
        <v>0.9205048534524402</v>
      </c>
      <c r="AF16" s="10">
        <f t="shared" si="16"/>
        <v>270</v>
      </c>
      <c r="AG16" s="8">
        <f t="shared" si="17"/>
        <v>66.99999999999999</v>
      </c>
      <c r="AH16" s="9">
        <f t="shared" si="18"/>
        <v>-4.671702364941116E-05</v>
      </c>
      <c r="AI16" s="11"/>
      <c r="AJ16" s="16"/>
      <c r="AK16" s="77">
        <v>38</v>
      </c>
      <c r="AL16" s="78">
        <v>47</v>
      </c>
      <c r="AM16" s="5">
        <f t="shared" si="19"/>
        <v>206.75954237889863</v>
      </c>
      <c r="AN16" s="3">
        <f t="shared" si="20"/>
        <v>116.75954237889863</v>
      </c>
      <c r="AO16" s="6">
        <f t="shared" si="21"/>
        <v>68.99577804219021</v>
      </c>
      <c r="AP16" s="10"/>
      <c r="AQ16" s="7"/>
      <c r="AR16" s="10"/>
      <c r="AS16" s="17"/>
    </row>
    <row r="17" spans="1:45" ht="15">
      <c r="A17" s="11" t="s">
        <v>45</v>
      </c>
      <c r="B17" s="13" t="s">
        <v>46</v>
      </c>
      <c r="C17" s="13">
        <v>2</v>
      </c>
      <c r="D17" s="14">
        <v>5</v>
      </c>
      <c r="E17" s="19" t="s">
        <v>48</v>
      </c>
      <c r="F17" s="13"/>
      <c r="G17" s="45">
        <f t="shared" si="24"/>
        <v>15.1059</v>
      </c>
      <c r="H17" s="45">
        <f t="shared" si="24"/>
        <v>15.1152</v>
      </c>
      <c r="I17" s="1">
        <f t="shared" si="1"/>
        <v>15.11055</v>
      </c>
      <c r="J17" s="55">
        <v>33</v>
      </c>
      <c r="K17" s="55">
        <v>34</v>
      </c>
      <c r="L17" s="14">
        <f t="shared" si="26"/>
        <v>33.5</v>
      </c>
      <c r="M17" s="52">
        <v>180</v>
      </c>
      <c r="N17" s="53">
        <v>0</v>
      </c>
      <c r="O17" s="53">
        <v>270</v>
      </c>
      <c r="P17" s="53">
        <v>16</v>
      </c>
      <c r="Q17" s="16"/>
      <c r="R17" s="54"/>
      <c r="S17" s="2">
        <f t="shared" si="3"/>
        <v>3.3769668059429403E-17</v>
      </c>
      <c r="T17" s="2">
        <f t="shared" si="4"/>
        <v>0.27563735581699916</v>
      </c>
      <c r="U17" s="2">
        <f t="shared" si="5"/>
        <v>0.9612616959383189</v>
      </c>
      <c r="V17" s="3">
        <f t="shared" si="6"/>
        <v>90</v>
      </c>
      <c r="W17" s="4">
        <f t="shared" si="7"/>
        <v>74.00000000000001</v>
      </c>
      <c r="X17" s="5">
        <f t="shared" si="25"/>
        <v>270</v>
      </c>
      <c r="Y17" s="3">
        <f t="shared" si="9"/>
        <v>180</v>
      </c>
      <c r="Z17" s="6">
        <f t="shared" si="10"/>
        <v>15.999999999999986</v>
      </c>
      <c r="AA17" s="7">
        <f t="shared" si="11"/>
        <v>90.00000000000001</v>
      </c>
      <c r="AB17" s="8">
        <f t="shared" si="12"/>
        <v>90.00000000000001</v>
      </c>
      <c r="AC17" s="9">
        <f t="shared" si="13"/>
        <v>-3.828317871046316E-16</v>
      </c>
      <c r="AD17" s="9">
        <f t="shared" si="14"/>
        <v>0.9612616959383189</v>
      </c>
      <c r="AE17" s="9">
        <f t="shared" si="15"/>
        <v>0.27563735581699894</v>
      </c>
      <c r="AF17" s="10">
        <f t="shared" si="16"/>
        <v>270</v>
      </c>
      <c r="AG17" s="8">
        <f t="shared" si="17"/>
        <v>15.99999999999999</v>
      </c>
      <c r="AH17" s="9">
        <f t="shared" si="18"/>
        <v>-3.214394126262867E-20</v>
      </c>
      <c r="AI17" s="11"/>
      <c r="AJ17" s="16"/>
      <c r="AK17" s="77">
        <v>38</v>
      </c>
      <c r="AL17" s="78">
        <v>47</v>
      </c>
      <c r="AM17" s="5">
        <f t="shared" si="19"/>
        <v>232</v>
      </c>
      <c r="AN17" s="3">
        <f t="shared" si="20"/>
        <v>142</v>
      </c>
      <c r="AO17" s="6">
        <f t="shared" si="21"/>
        <v>15.999999999999986</v>
      </c>
      <c r="AP17" s="10"/>
      <c r="AQ17" s="7"/>
      <c r="AR17" s="10"/>
      <c r="AS17" s="17"/>
    </row>
    <row r="18" spans="1:45" ht="15">
      <c r="A18" s="11" t="s">
        <v>45</v>
      </c>
      <c r="B18" s="13" t="s">
        <v>46</v>
      </c>
      <c r="C18" s="13">
        <v>2</v>
      </c>
      <c r="D18" s="14">
        <v>5</v>
      </c>
      <c r="E18" s="19" t="s">
        <v>48</v>
      </c>
      <c r="F18" s="13"/>
      <c r="G18" s="45">
        <f t="shared" si="24"/>
        <v>15.45</v>
      </c>
      <c r="H18" s="45">
        <f t="shared" si="24"/>
        <v>15.4779</v>
      </c>
      <c r="I18" s="1">
        <f t="shared" si="1"/>
        <v>15.46395</v>
      </c>
      <c r="J18" s="55">
        <v>70</v>
      </c>
      <c r="K18" s="55">
        <v>73</v>
      </c>
      <c r="L18" s="14">
        <f t="shared" si="26"/>
        <v>71.5</v>
      </c>
      <c r="M18" s="52">
        <v>180</v>
      </c>
      <c r="N18" s="53">
        <v>0</v>
      </c>
      <c r="O18" s="53">
        <v>270</v>
      </c>
      <c r="P18" s="53">
        <v>14</v>
      </c>
      <c r="Q18" s="16"/>
      <c r="R18" s="54"/>
      <c r="S18" s="2">
        <f t="shared" si="3"/>
        <v>2.963902366024974E-17</v>
      </c>
      <c r="T18" s="2">
        <f t="shared" si="4"/>
        <v>0.24192189559966773</v>
      </c>
      <c r="U18" s="2">
        <f t="shared" si="5"/>
        <v>0.9702957262759965</v>
      </c>
      <c r="V18" s="3">
        <f t="shared" si="6"/>
        <v>90</v>
      </c>
      <c r="W18" s="4">
        <f t="shared" si="7"/>
        <v>76</v>
      </c>
      <c r="X18" s="5">
        <f t="shared" si="25"/>
        <v>270</v>
      </c>
      <c r="Y18" s="3">
        <f t="shared" si="9"/>
        <v>180</v>
      </c>
      <c r="Z18" s="6">
        <f t="shared" si="10"/>
        <v>14</v>
      </c>
      <c r="AA18" s="7">
        <f t="shared" si="11"/>
        <v>90.00000000000001</v>
      </c>
      <c r="AB18" s="8">
        <f t="shared" si="12"/>
        <v>90.00000000000001</v>
      </c>
      <c r="AC18" s="9">
        <f t="shared" si="13"/>
        <v>-3.828317871046316E-16</v>
      </c>
      <c r="AD18" s="9">
        <f t="shared" si="14"/>
        <v>0.9702957262759965</v>
      </c>
      <c r="AE18" s="9">
        <f t="shared" si="15"/>
        <v>0.24192189559966773</v>
      </c>
      <c r="AF18" s="10">
        <f t="shared" si="16"/>
        <v>270</v>
      </c>
      <c r="AG18" s="8">
        <f t="shared" si="17"/>
        <v>14</v>
      </c>
      <c r="AH18" s="9">
        <f t="shared" si="18"/>
        <v>-2.821217780309024E-20</v>
      </c>
      <c r="AI18" s="11"/>
      <c r="AJ18" s="16"/>
      <c r="AK18" s="77">
        <v>38</v>
      </c>
      <c r="AL18" s="78">
        <v>47</v>
      </c>
      <c r="AM18" s="5">
        <f t="shared" si="19"/>
        <v>232</v>
      </c>
      <c r="AN18" s="3">
        <f t="shared" si="20"/>
        <v>142</v>
      </c>
      <c r="AO18" s="6">
        <f t="shared" si="21"/>
        <v>14</v>
      </c>
      <c r="AP18" s="10"/>
      <c r="AQ18" s="7"/>
      <c r="AR18" s="10"/>
      <c r="AS18" s="17"/>
    </row>
    <row r="19" spans="1:45" ht="15">
      <c r="A19" s="11" t="s">
        <v>45</v>
      </c>
      <c r="B19" s="13" t="s">
        <v>46</v>
      </c>
      <c r="C19" s="13">
        <v>2</v>
      </c>
      <c r="D19" s="14">
        <v>5</v>
      </c>
      <c r="E19" s="19" t="s">
        <v>47</v>
      </c>
      <c r="F19" s="13" t="s">
        <v>72</v>
      </c>
      <c r="G19" s="45">
        <f t="shared" si="24"/>
        <v>15.6546</v>
      </c>
      <c r="H19" s="45">
        <f t="shared" si="24"/>
        <v>15.691799999999999</v>
      </c>
      <c r="I19" s="1">
        <f t="shared" si="1"/>
        <v>15.6732</v>
      </c>
      <c r="J19" s="55">
        <v>92</v>
      </c>
      <c r="K19" s="55">
        <v>96</v>
      </c>
      <c r="L19" s="14">
        <f t="shared" si="26"/>
        <v>94</v>
      </c>
      <c r="M19" s="52">
        <v>180</v>
      </c>
      <c r="N19" s="53">
        <v>30</v>
      </c>
      <c r="O19" s="53">
        <v>270</v>
      </c>
      <c r="P19" s="53">
        <v>11</v>
      </c>
      <c r="Q19" s="16"/>
      <c r="R19" s="54"/>
      <c r="S19" s="2">
        <f t="shared" si="3"/>
        <v>0.49081359172383193</v>
      </c>
      <c r="T19" s="2">
        <f t="shared" si="4"/>
        <v>0.16524543726667523</v>
      </c>
      <c r="U19" s="2">
        <f t="shared" si="5"/>
        <v>0.8501140779110444</v>
      </c>
      <c r="V19" s="3">
        <f t="shared" si="6"/>
        <v>18.607173656023893</v>
      </c>
      <c r="W19" s="4">
        <f t="shared" si="7"/>
        <v>58.65048773884607</v>
      </c>
      <c r="X19" s="5">
        <f t="shared" si="25"/>
        <v>198.6071736560239</v>
      </c>
      <c r="Y19" s="3">
        <f t="shared" si="9"/>
        <v>108.60717365602389</v>
      </c>
      <c r="Z19" s="6">
        <f t="shared" si="10"/>
        <v>31.349512261153933</v>
      </c>
      <c r="AA19" s="7">
        <f t="shared" si="11"/>
        <v>158.4841313968655</v>
      </c>
      <c r="AB19" s="8">
        <f t="shared" si="12"/>
        <v>158.4841313968655</v>
      </c>
      <c r="AC19" s="9">
        <f t="shared" si="13"/>
        <v>-0.9303160263490542</v>
      </c>
      <c r="AD19" s="9">
        <f t="shared" si="14"/>
        <v>0.3132156100859273</v>
      </c>
      <c r="AE19" s="9">
        <f t="shared" si="15"/>
        <v>0.19080899537654478</v>
      </c>
      <c r="AF19" s="10">
        <f t="shared" si="16"/>
        <v>270</v>
      </c>
      <c r="AG19" s="8">
        <f t="shared" si="17"/>
        <v>10.999999999999998</v>
      </c>
      <c r="AH19" s="9">
        <f t="shared" si="18"/>
        <v>-5.40709744827137E-05</v>
      </c>
      <c r="AI19" s="11"/>
      <c r="AJ19" s="16"/>
      <c r="AK19" s="77">
        <v>38</v>
      </c>
      <c r="AL19" s="78">
        <v>47</v>
      </c>
      <c r="AM19" s="5">
        <f t="shared" si="19"/>
        <v>160.6071736560239</v>
      </c>
      <c r="AN19" s="3">
        <f t="shared" si="20"/>
        <v>70.60717365602389</v>
      </c>
      <c r="AO19" s="6">
        <f t="shared" si="21"/>
        <v>31.349512261153933</v>
      </c>
      <c r="AP19" s="10"/>
      <c r="AQ19" s="7"/>
      <c r="AR19" s="10"/>
      <c r="AS19" s="17"/>
    </row>
    <row r="20" spans="1:45" ht="15">
      <c r="A20" s="11" t="s">
        <v>45</v>
      </c>
      <c r="B20" s="13" t="s">
        <v>46</v>
      </c>
      <c r="C20" s="13">
        <v>2</v>
      </c>
      <c r="D20" s="14">
        <v>5</v>
      </c>
      <c r="E20" s="19" t="s">
        <v>48</v>
      </c>
      <c r="F20" s="13"/>
      <c r="G20" s="45">
        <f t="shared" si="24"/>
        <v>15.8592</v>
      </c>
      <c r="H20" s="45">
        <f t="shared" si="24"/>
        <v>15.8778</v>
      </c>
      <c r="I20" s="1">
        <f t="shared" si="1"/>
        <v>15.868500000000001</v>
      </c>
      <c r="J20" s="55">
        <v>114</v>
      </c>
      <c r="K20" s="55">
        <v>116</v>
      </c>
      <c r="L20" s="14">
        <f t="shared" si="26"/>
        <v>115</v>
      </c>
      <c r="M20" s="52">
        <v>0</v>
      </c>
      <c r="N20" s="53">
        <v>3</v>
      </c>
      <c r="O20" s="53">
        <v>270</v>
      </c>
      <c r="P20" s="53">
        <v>19</v>
      </c>
      <c r="Q20" s="16"/>
      <c r="R20" s="54"/>
      <c r="S20" s="2">
        <f t="shared" si="3"/>
        <v>0.04948461879945642</v>
      </c>
      <c r="T20" s="2">
        <f t="shared" si="4"/>
        <v>-0.3251219746164556</v>
      </c>
      <c r="U20" s="2">
        <f t="shared" si="5"/>
        <v>-0.9442227752525532</v>
      </c>
      <c r="V20" s="3">
        <f t="shared" si="6"/>
        <v>278.65418421409595</v>
      </c>
      <c r="W20" s="4">
        <f t="shared" si="7"/>
        <v>-70.79712563594818</v>
      </c>
      <c r="X20" s="5">
        <f t="shared" si="25"/>
        <v>278.65418421409595</v>
      </c>
      <c r="Y20" s="3">
        <f t="shared" si="9"/>
        <v>188.65418421409595</v>
      </c>
      <c r="Z20" s="6">
        <f t="shared" si="10"/>
        <v>19.202874364051823</v>
      </c>
      <c r="AA20" s="7">
        <f t="shared" si="11"/>
        <v>81.8206326695546</v>
      </c>
      <c r="AB20" s="8">
        <f t="shared" si="12"/>
        <v>81.8206326695546</v>
      </c>
      <c r="AC20" s="9">
        <f t="shared" si="13"/>
        <v>0.14227249810932557</v>
      </c>
      <c r="AD20" s="9">
        <f t="shared" si="14"/>
        <v>0.9347533969369105</v>
      </c>
      <c r="AE20" s="9">
        <f t="shared" si="15"/>
        <v>0.3255681544571563</v>
      </c>
      <c r="AF20" s="10">
        <f t="shared" si="16"/>
        <v>270</v>
      </c>
      <c r="AG20" s="8">
        <f t="shared" si="17"/>
        <v>18.99999999999998</v>
      </c>
      <c r="AH20" s="9">
        <f t="shared" si="18"/>
        <v>1.4109604053007907E-05</v>
      </c>
      <c r="AI20" s="11"/>
      <c r="AJ20" s="16"/>
      <c r="AK20" s="77">
        <v>38</v>
      </c>
      <c r="AL20" s="78">
        <v>47</v>
      </c>
      <c r="AM20" s="5">
        <f t="shared" si="19"/>
        <v>240.65418421409595</v>
      </c>
      <c r="AN20" s="3">
        <f t="shared" si="20"/>
        <v>150.65418421409595</v>
      </c>
      <c r="AO20" s="6">
        <f t="shared" si="21"/>
        <v>19.202874364051823</v>
      </c>
      <c r="AP20" s="10"/>
      <c r="AQ20" s="7"/>
      <c r="AR20" s="10"/>
      <c r="AS20" s="17"/>
    </row>
    <row r="21" spans="1:46" ht="15">
      <c r="A21" s="11" t="s">
        <v>45</v>
      </c>
      <c r="B21" s="13" t="s">
        <v>46</v>
      </c>
      <c r="C21" s="13">
        <v>2</v>
      </c>
      <c r="D21" s="14">
        <v>5</v>
      </c>
      <c r="E21" s="19" t="s">
        <v>47</v>
      </c>
      <c r="F21" s="13" t="s">
        <v>72</v>
      </c>
      <c r="G21" s="45">
        <f t="shared" si="24"/>
        <v>15.9057</v>
      </c>
      <c r="H21" s="45">
        <f t="shared" si="24"/>
        <v>15.9336</v>
      </c>
      <c r="I21" s="1">
        <f t="shared" si="1"/>
        <v>15.91965</v>
      </c>
      <c r="J21" s="55">
        <v>119</v>
      </c>
      <c r="K21" s="55">
        <v>122</v>
      </c>
      <c r="L21" s="14">
        <f t="shared" si="26"/>
        <v>120.5</v>
      </c>
      <c r="M21" s="52">
        <v>180</v>
      </c>
      <c r="N21" s="53">
        <v>26</v>
      </c>
      <c r="O21" s="53">
        <v>307</v>
      </c>
      <c r="P21" s="53">
        <v>0</v>
      </c>
      <c r="Q21" s="16"/>
      <c r="R21" s="54"/>
      <c r="S21" s="2">
        <f t="shared" si="3"/>
        <v>0.3500987644059116</v>
      </c>
      <c r="T21" s="2">
        <f t="shared" si="4"/>
        <v>0.26381834185405845</v>
      </c>
      <c r="U21" s="2">
        <f t="shared" si="5"/>
        <v>0.7178088415936055</v>
      </c>
      <c r="V21" s="3">
        <f t="shared" si="6"/>
        <v>36.999999999999986</v>
      </c>
      <c r="W21" s="4">
        <f t="shared" si="7"/>
        <v>58.58728024368199</v>
      </c>
      <c r="X21" s="5">
        <f t="shared" si="25"/>
        <v>217</v>
      </c>
      <c r="Y21" s="3">
        <f t="shared" si="9"/>
        <v>127</v>
      </c>
      <c r="Z21" s="6">
        <f t="shared" si="10"/>
        <v>31.412719756318012</v>
      </c>
      <c r="AA21" s="7">
        <f t="shared" si="11"/>
        <v>138.55659586959484</v>
      </c>
      <c r="AB21" s="8">
        <f t="shared" si="12"/>
        <v>138.55659586959484</v>
      </c>
      <c r="AC21" s="9">
        <f t="shared" si="13"/>
        <v>-0.749609880956825</v>
      </c>
      <c r="AD21" s="9">
        <f t="shared" si="14"/>
        <v>0.5648715617920891</v>
      </c>
      <c r="AE21" s="9">
        <f t="shared" si="15"/>
        <v>0.3449712235106875</v>
      </c>
      <c r="AF21" s="10">
        <f t="shared" si="16"/>
        <v>270</v>
      </c>
      <c r="AG21" s="8">
        <f t="shared" si="17"/>
        <v>20.18003915343104</v>
      </c>
      <c r="AH21" s="9">
        <f t="shared" si="18"/>
        <v>-7.876946451758656E-05</v>
      </c>
      <c r="AI21" s="11"/>
      <c r="AJ21" s="16"/>
      <c r="AK21" s="77">
        <v>38</v>
      </c>
      <c r="AL21" s="78">
        <v>47</v>
      </c>
      <c r="AM21" s="5">
        <f t="shared" si="19"/>
        <v>179</v>
      </c>
      <c r="AN21" s="3">
        <f t="shared" si="20"/>
        <v>89</v>
      </c>
      <c r="AO21" s="6">
        <f t="shared" si="21"/>
        <v>31.412719756318012</v>
      </c>
      <c r="AP21" s="10"/>
      <c r="AQ21" s="7"/>
      <c r="AR21" s="10"/>
      <c r="AS21" s="17"/>
      <c r="AT21" s="18" t="s">
        <v>87</v>
      </c>
    </row>
    <row r="22" spans="1:45" ht="15">
      <c r="A22" s="11" t="s">
        <v>45</v>
      </c>
      <c r="B22" s="13" t="s">
        <v>46</v>
      </c>
      <c r="C22" s="13">
        <v>2</v>
      </c>
      <c r="D22" s="14">
        <v>5</v>
      </c>
      <c r="E22" s="19" t="s">
        <v>48</v>
      </c>
      <c r="F22" s="13"/>
      <c r="G22" s="45">
        <f t="shared" si="24"/>
        <v>15.9615</v>
      </c>
      <c r="H22" s="45">
        <f t="shared" si="24"/>
        <v>15.9801</v>
      </c>
      <c r="I22" s="1">
        <f t="shared" si="1"/>
        <v>15.9708</v>
      </c>
      <c r="J22" s="55">
        <v>125</v>
      </c>
      <c r="K22" s="55">
        <v>127</v>
      </c>
      <c r="L22" s="14">
        <f t="shared" si="26"/>
        <v>126</v>
      </c>
      <c r="M22" s="52">
        <v>180</v>
      </c>
      <c r="N22" s="53">
        <v>2</v>
      </c>
      <c r="O22" s="53">
        <v>270</v>
      </c>
      <c r="P22" s="53">
        <v>18</v>
      </c>
      <c r="Q22" s="16"/>
      <c r="R22" s="54"/>
      <c r="S22" s="2">
        <f t="shared" si="3"/>
        <v>0.0331913937543348</v>
      </c>
      <c r="T22" s="2">
        <f t="shared" si="4"/>
        <v>0.30882874957133394</v>
      </c>
      <c r="U22" s="2">
        <f t="shared" si="5"/>
        <v>0.9504771583621137</v>
      </c>
      <c r="V22" s="3">
        <f t="shared" si="6"/>
        <v>83.86567831169236</v>
      </c>
      <c r="W22" s="4">
        <f t="shared" si="7"/>
        <v>71.90308099254865</v>
      </c>
      <c r="X22" s="5">
        <f t="shared" si="25"/>
        <v>263.86567831169236</v>
      </c>
      <c r="Y22" s="3">
        <f t="shared" si="9"/>
        <v>173.86567831169236</v>
      </c>
      <c r="Z22" s="6">
        <f t="shared" si="10"/>
        <v>18.096919007451348</v>
      </c>
      <c r="AA22" s="7">
        <f t="shared" si="11"/>
        <v>95.83301791682268</v>
      </c>
      <c r="AB22" s="8">
        <f t="shared" si="12"/>
        <v>95.83301791682268</v>
      </c>
      <c r="AC22" s="9">
        <f t="shared" si="13"/>
        <v>-0.10162960163120448</v>
      </c>
      <c r="AD22" s="9">
        <f t="shared" si="14"/>
        <v>0.9456108720080139</v>
      </c>
      <c r="AE22" s="9">
        <f t="shared" si="15"/>
        <v>0.30901699437494745</v>
      </c>
      <c r="AF22" s="10">
        <f t="shared" si="16"/>
        <v>270</v>
      </c>
      <c r="AG22" s="8">
        <f t="shared" si="17"/>
        <v>18.000000000000004</v>
      </c>
      <c r="AH22" s="9">
        <f t="shared" si="18"/>
        <v>-9.566542148562178E-06</v>
      </c>
      <c r="AI22" s="11"/>
      <c r="AJ22" s="16"/>
      <c r="AK22" s="77">
        <v>38</v>
      </c>
      <c r="AL22" s="78">
        <v>47</v>
      </c>
      <c r="AM22" s="5">
        <f t="shared" si="19"/>
        <v>225.86567831169236</v>
      </c>
      <c r="AN22" s="3">
        <f t="shared" si="20"/>
        <v>135.86567831169236</v>
      </c>
      <c r="AO22" s="6">
        <f t="shared" si="21"/>
        <v>18.096919007451348</v>
      </c>
      <c r="AP22" s="10"/>
      <c r="AQ22" s="7"/>
      <c r="AR22" s="10"/>
      <c r="AS22" s="17"/>
    </row>
    <row r="23" spans="1:45" ht="15">
      <c r="A23" s="11" t="s">
        <v>45</v>
      </c>
      <c r="B23" s="13" t="s">
        <v>46</v>
      </c>
      <c r="C23" s="13">
        <v>2</v>
      </c>
      <c r="D23" s="14">
        <v>6</v>
      </c>
      <c r="E23" s="19" t="s">
        <v>48</v>
      </c>
      <c r="F23" s="13"/>
      <c r="G23" s="45">
        <f aca="true" t="shared" si="27" ref="G23:H26">J23*0.93/100+16.11</f>
        <v>16.2216</v>
      </c>
      <c r="H23" s="45">
        <f t="shared" si="27"/>
        <v>16.240199999999998</v>
      </c>
      <c r="I23" s="1">
        <f t="shared" si="1"/>
        <v>16.2309</v>
      </c>
      <c r="J23" s="55">
        <v>12</v>
      </c>
      <c r="K23" s="55">
        <v>14</v>
      </c>
      <c r="L23" s="14">
        <f t="shared" si="26"/>
        <v>13</v>
      </c>
      <c r="M23" s="52">
        <v>180</v>
      </c>
      <c r="N23" s="53">
        <v>2</v>
      </c>
      <c r="O23" s="53">
        <v>270</v>
      </c>
      <c r="P23" s="53">
        <v>20</v>
      </c>
      <c r="Q23" s="16"/>
      <c r="R23" s="54"/>
      <c r="S23" s="2">
        <f t="shared" si="3"/>
        <v>0.032794799520482344</v>
      </c>
      <c r="T23" s="2">
        <f t="shared" si="4"/>
        <v>0.3418117938954297</v>
      </c>
      <c r="U23" s="2">
        <f t="shared" si="5"/>
        <v>0.9391201854309705</v>
      </c>
      <c r="V23" s="3">
        <f t="shared" si="6"/>
        <v>84.51958737987796</v>
      </c>
      <c r="W23" s="4">
        <f t="shared" si="7"/>
        <v>69.91548448293592</v>
      </c>
      <c r="X23" s="5">
        <f t="shared" si="25"/>
        <v>264.519587379878</v>
      </c>
      <c r="Y23" s="3">
        <f t="shared" si="9"/>
        <v>174.51958737987798</v>
      </c>
      <c r="Z23" s="6">
        <f t="shared" si="10"/>
        <v>20.084515517064077</v>
      </c>
      <c r="AA23" s="7">
        <f t="shared" si="11"/>
        <v>95.14898175699295</v>
      </c>
      <c r="AB23" s="8">
        <f t="shared" si="12"/>
        <v>95.14898175699295</v>
      </c>
      <c r="AC23" s="9">
        <f t="shared" si="13"/>
        <v>-0.0897457727466207</v>
      </c>
      <c r="AD23" s="9">
        <f t="shared" si="14"/>
        <v>0.9353971978970222</v>
      </c>
      <c r="AE23" s="9">
        <f t="shared" si="15"/>
        <v>0.3420201433256686</v>
      </c>
      <c r="AF23" s="10">
        <f t="shared" si="16"/>
        <v>270</v>
      </c>
      <c r="AG23" s="8">
        <f t="shared" si="17"/>
        <v>19.999999999999993</v>
      </c>
      <c r="AH23" s="9">
        <f t="shared" si="18"/>
        <v>-9.350130327470909E-06</v>
      </c>
      <c r="AI23" s="11"/>
      <c r="AJ23" s="16"/>
      <c r="AK23" s="77">
        <v>38</v>
      </c>
      <c r="AL23" s="78">
        <v>47</v>
      </c>
      <c r="AM23" s="5">
        <f t="shared" si="19"/>
        <v>226.51958737987798</v>
      </c>
      <c r="AN23" s="3">
        <f t="shared" si="20"/>
        <v>136.51958737987798</v>
      </c>
      <c r="AO23" s="6">
        <f t="shared" si="21"/>
        <v>20.084515517064077</v>
      </c>
      <c r="AP23" s="10"/>
      <c r="AQ23" s="7"/>
      <c r="AR23" s="10"/>
      <c r="AS23" s="17"/>
    </row>
    <row r="24" spans="1:45" ht="15">
      <c r="A24" s="11" t="s">
        <v>45</v>
      </c>
      <c r="B24" s="13" t="s">
        <v>46</v>
      </c>
      <c r="C24" s="13">
        <v>2</v>
      </c>
      <c r="D24" s="14">
        <v>6</v>
      </c>
      <c r="E24" s="19" t="s">
        <v>48</v>
      </c>
      <c r="F24" s="13"/>
      <c r="G24" s="45">
        <f t="shared" si="27"/>
        <v>16.6401</v>
      </c>
      <c r="H24" s="45">
        <f t="shared" si="27"/>
        <v>16.6587</v>
      </c>
      <c r="I24" s="1">
        <f t="shared" si="1"/>
        <v>16.6494</v>
      </c>
      <c r="J24" s="55">
        <v>57</v>
      </c>
      <c r="K24" s="55">
        <v>59</v>
      </c>
      <c r="L24" s="14">
        <f t="shared" si="26"/>
        <v>58</v>
      </c>
      <c r="M24" s="52">
        <v>180</v>
      </c>
      <c r="N24" s="53">
        <v>3</v>
      </c>
      <c r="O24" s="53">
        <v>270</v>
      </c>
      <c r="P24" s="53">
        <v>15</v>
      </c>
      <c r="Q24" s="16"/>
      <c r="R24" s="54"/>
      <c r="S24" s="2">
        <f t="shared" si="3"/>
        <v>0.050552651778594075</v>
      </c>
      <c r="T24" s="2">
        <f t="shared" si="4"/>
        <v>0.25846434259635337</v>
      </c>
      <c r="U24" s="2">
        <f t="shared" si="5"/>
        <v>0.9646020585144796</v>
      </c>
      <c r="V24" s="3">
        <f t="shared" si="6"/>
        <v>78.93331148161589</v>
      </c>
      <c r="W24" s="4">
        <f t="shared" si="7"/>
        <v>74.72893714534524</v>
      </c>
      <c r="X24" s="5">
        <f t="shared" si="25"/>
        <v>258.9333114816159</v>
      </c>
      <c r="Y24" s="3">
        <f t="shared" si="9"/>
        <v>168.93331148161587</v>
      </c>
      <c r="Z24" s="6">
        <f t="shared" si="10"/>
        <v>15.271062854654758</v>
      </c>
      <c r="AA24" s="7">
        <f t="shared" si="11"/>
        <v>100.68508558682007</v>
      </c>
      <c r="AB24" s="8">
        <f t="shared" si="12"/>
        <v>100.68508558682007</v>
      </c>
      <c r="AC24" s="9">
        <f t="shared" si="13"/>
        <v>-0.18541082946888574</v>
      </c>
      <c r="AD24" s="9">
        <f t="shared" si="14"/>
        <v>0.9479638844427982</v>
      </c>
      <c r="AE24" s="9">
        <f t="shared" si="15"/>
        <v>0.2588190451025211</v>
      </c>
      <c r="AF24" s="10">
        <f t="shared" si="16"/>
        <v>270</v>
      </c>
      <c r="AG24" s="8">
        <f t="shared" si="17"/>
        <v>15.000000000000018</v>
      </c>
      <c r="AH24" s="9">
        <f t="shared" si="18"/>
        <v>-1.4617860989137593E-05</v>
      </c>
      <c r="AI24" s="11"/>
      <c r="AJ24" s="16"/>
      <c r="AK24" s="77">
        <v>38</v>
      </c>
      <c r="AL24" s="78">
        <v>47</v>
      </c>
      <c r="AM24" s="5">
        <f t="shared" si="19"/>
        <v>220.93331148161587</v>
      </c>
      <c r="AN24" s="3">
        <f t="shared" si="20"/>
        <v>130.93331148161587</v>
      </c>
      <c r="AO24" s="6">
        <f t="shared" si="21"/>
        <v>15.271062854654758</v>
      </c>
      <c r="AP24" s="10"/>
      <c r="AQ24" s="7"/>
      <c r="AR24" s="10"/>
      <c r="AS24" s="17"/>
    </row>
    <row r="25" spans="1:45" ht="15">
      <c r="A25" s="11" t="s">
        <v>45</v>
      </c>
      <c r="B25" s="13" t="s">
        <v>46</v>
      </c>
      <c r="C25" s="13">
        <v>2</v>
      </c>
      <c r="D25" s="14">
        <v>6</v>
      </c>
      <c r="E25" s="19" t="s">
        <v>48</v>
      </c>
      <c r="F25" s="13"/>
      <c r="G25" s="45">
        <f t="shared" si="27"/>
        <v>17.0028</v>
      </c>
      <c r="H25" s="45">
        <f t="shared" si="27"/>
        <v>17.0214</v>
      </c>
      <c r="I25" s="1">
        <f t="shared" si="1"/>
        <v>17.0121</v>
      </c>
      <c r="J25" s="55">
        <v>96</v>
      </c>
      <c r="K25" s="55">
        <v>98</v>
      </c>
      <c r="L25" s="14">
        <f t="shared" si="26"/>
        <v>97</v>
      </c>
      <c r="M25" s="52">
        <v>180</v>
      </c>
      <c r="N25" s="53">
        <v>2</v>
      </c>
      <c r="O25" s="53">
        <v>270</v>
      </c>
      <c r="P25" s="53">
        <v>13</v>
      </c>
      <c r="Q25" s="16"/>
      <c r="R25" s="54"/>
      <c r="S25" s="2">
        <f t="shared" si="3"/>
        <v>0.034005024862988</v>
      </c>
      <c r="T25" s="2">
        <f t="shared" si="4"/>
        <v>0.2248140202395328</v>
      </c>
      <c r="U25" s="2">
        <f t="shared" si="5"/>
        <v>0.9737765048683662</v>
      </c>
      <c r="V25" s="3">
        <f t="shared" si="6"/>
        <v>81.39872905383277</v>
      </c>
      <c r="W25" s="4">
        <f t="shared" si="7"/>
        <v>76.85723222850996</v>
      </c>
      <c r="X25" s="5">
        <f t="shared" si="25"/>
        <v>261.39872905383277</v>
      </c>
      <c r="Y25" s="3">
        <f t="shared" si="9"/>
        <v>171.39872905383277</v>
      </c>
      <c r="Z25" s="6">
        <f t="shared" si="10"/>
        <v>13.142767771490043</v>
      </c>
      <c r="AA25" s="7">
        <f t="shared" si="11"/>
        <v>98.3792143618472</v>
      </c>
      <c r="AB25" s="8">
        <f t="shared" si="12"/>
        <v>98.3792143618472</v>
      </c>
      <c r="AC25" s="9">
        <f t="shared" si="13"/>
        <v>-0.14572413289425254</v>
      </c>
      <c r="AD25" s="9">
        <f t="shared" si="14"/>
        <v>0.9634113868134432</v>
      </c>
      <c r="AE25" s="9">
        <f t="shared" si="15"/>
        <v>0.2249510543438648</v>
      </c>
      <c r="AF25" s="10">
        <f t="shared" si="16"/>
        <v>270</v>
      </c>
      <c r="AG25" s="8">
        <f t="shared" si="17"/>
        <v>12.99999999999999</v>
      </c>
      <c r="AH25" s="9">
        <f t="shared" si="18"/>
        <v>-9.985565484090806E-06</v>
      </c>
      <c r="AI25" s="11"/>
      <c r="AJ25" s="16"/>
      <c r="AK25" s="77">
        <v>38</v>
      </c>
      <c r="AL25" s="78">
        <v>47</v>
      </c>
      <c r="AM25" s="5">
        <f t="shared" si="19"/>
        <v>223.39872905383277</v>
      </c>
      <c r="AN25" s="3">
        <f t="shared" si="20"/>
        <v>133.39872905383277</v>
      </c>
      <c r="AO25" s="6">
        <f t="shared" si="21"/>
        <v>13.142767771490043</v>
      </c>
      <c r="AP25" s="10"/>
      <c r="AQ25" s="7"/>
      <c r="AR25" s="10"/>
      <c r="AS25" s="17"/>
    </row>
    <row r="26" spans="1:46" ht="15">
      <c r="A26" s="11" t="s">
        <v>45</v>
      </c>
      <c r="B26" s="13" t="s">
        <v>46</v>
      </c>
      <c r="C26" s="13">
        <v>2</v>
      </c>
      <c r="D26" s="14">
        <v>6</v>
      </c>
      <c r="E26" s="19" t="s">
        <v>47</v>
      </c>
      <c r="F26" s="13" t="s">
        <v>88</v>
      </c>
      <c r="G26" s="45">
        <f t="shared" si="27"/>
        <v>17.3283</v>
      </c>
      <c r="H26" s="45">
        <f t="shared" si="27"/>
        <v>17.3655</v>
      </c>
      <c r="I26" s="1">
        <f t="shared" si="1"/>
        <v>17.346899999999998</v>
      </c>
      <c r="J26" s="55">
        <v>131</v>
      </c>
      <c r="K26" s="55">
        <v>135</v>
      </c>
      <c r="L26" s="14">
        <f t="shared" si="26"/>
        <v>133</v>
      </c>
      <c r="M26" s="52">
        <v>180</v>
      </c>
      <c r="N26" s="53">
        <v>28</v>
      </c>
      <c r="O26" s="53">
        <v>304</v>
      </c>
      <c r="P26" s="53">
        <v>0</v>
      </c>
      <c r="Q26" s="16"/>
      <c r="R26" s="54"/>
      <c r="S26" s="2">
        <f t="shared" si="3"/>
        <v>0.38920956479563695</v>
      </c>
      <c r="T26" s="2">
        <f t="shared" si="4"/>
        <v>0.262525166291191</v>
      </c>
      <c r="U26" s="2">
        <f t="shared" si="5"/>
        <v>0.7319967290770824</v>
      </c>
      <c r="V26" s="3">
        <f t="shared" si="6"/>
        <v>33.99999999999996</v>
      </c>
      <c r="W26" s="4">
        <f t="shared" si="7"/>
        <v>57.32561448384439</v>
      </c>
      <c r="X26" s="5">
        <f t="shared" si="25"/>
        <v>213.99999999999994</v>
      </c>
      <c r="Y26" s="3">
        <f t="shared" si="9"/>
        <v>123.99999999999994</v>
      </c>
      <c r="Z26" s="6">
        <f t="shared" si="10"/>
        <v>32.67438551615561</v>
      </c>
      <c r="AA26" s="7">
        <f t="shared" si="11"/>
        <v>141.2942864143491</v>
      </c>
      <c r="AB26" s="8">
        <f t="shared" si="12"/>
        <v>141.2942864143491</v>
      </c>
      <c r="AC26" s="9">
        <f t="shared" si="13"/>
        <v>-0.7803680537090659</v>
      </c>
      <c r="AD26" s="9">
        <f t="shared" si="14"/>
        <v>0.5263648984985119</v>
      </c>
      <c r="AE26" s="9">
        <f t="shared" si="15"/>
        <v>0.33758805425988586</v>
      </c>
      <c r="AF26" s="10">
        <f t="shared" si="16"/>
        <v>270</v>
      </c>
      <c r="AG26" s="8">
        <f t="shared" si="17"/>
        <v>19.729993258318995</v>
      </c>
      <c r="AH26" s="9">
        <f t="shared" si="18"/>
        <v>-8.024636108789723E-05</v>
      </c>
      <c r="AI26" s="11"/>
      <c r="AJ26" s="16"/>
      <c r="AK26" s="77">
        <v>38</v>
      </c>
      <c r="AL26" s="78">
        <v>47</v>
      </c>
      <c r="AM26" s="5">
        <f t="shared" si="19"/>
        <v>175.99999999999994</v>
      </c>
      <c r="AN26" s="3">
        <f t="shared" si="20"/>
        <v>85.99999999999994</v>
      </c>
      <c r="AO26" s="6">
        <f t="shared" si="21"/>
        <v>32.67438551615561</v>
      </c>
      <c r="AP26" s="10"/>
      <c r="AQ26" s="7"/>
      <c r="AR26" s="10"/>
      <c r="AS26" s="17"/>
      <c r="AT26" s="18" t="s">
        <v>89</v>
      </c>
    </row>
    <row r="27" spans="1:46" ht="15">
      <c r="A27" s="11" t="s">
        <v>45</v>
      </c>
      <c r="B27" s="13" t="s">
        <v>46</v>
      </c>
      <c r="C27" s="13">
        <v>2</v>
      </c>
      <c r="D27" s="14">
        <v>7</v>
      </c>
      <c r="E27" s="19" t="s">
        <v>47</v>
      </c>
      <c r="F27" s="13" t="s">
        <v>54</v>
      </c>
      <c r="G27" s="45">
        <f aca="true" t="shared" si="28" ref="G27:H32">J27*0.93/100+17.421</f>
        <v>17.4489</v>
      </c>
      <c r="H27" s="45">
        <f t="shared" si="28"/>
        <v>17.551199999999998</v>
      </c>
      <c r="I27" s="1">
        <f t="shared" si="1"/>
        <v>17.500049999999998</v>
      </c>
      <c r="J27" s="55">
        <v>3</v>
      </c>
      <c r="K27" s="55">
        <v>14</v>
      </c>
      <c r="L27" s="14">
        <f t="shared" si="26"/>
        <v>8.5</v>
      </c>
      <c r="M27" s="52">
        <v>0</v>
      </c>
      <c r="N27" s="53">
        <v>80</v>
      </c>
      <c r="O27" s="53">
        <v>90</v>
      </c>
      <c r="P27" s="53">
        <v>80</v>
      </c>
      <c r="Q27" s="16"/>
      <c r="R27" s="54"/>
      <c r="S27" s="2">
        <f t="shared" si="3"/>
        <v>-0.1710100716628344</v>
      </c>
      <c r="T27" s="2">
        <f t="shared" si="4"/>
        <v>-0.1710100716628344</v>
      </c>
      <c r="U27" s="2">
        <f t="shared" si="5"/>
        <v>0.03015368960704583</v>
      </c>
      <c r="V27" s="3">
        <f t="shared" si="6"/>
        <v>225</v>
      </c>
      <c r="W27" s="4">
        <f t="shared" si="7"/>
        <v>7.107076110446537</v>
      </c>
      <c r="X27" s="5">
        <f t="shared" si="25"/>
        <v>45</v>
      </c>
      <c r="Y27" s="3">
        <f t="shared" si="9"/>
        <v>315</v>
      </c>
      <c r="Z27" s="6">
        <f t="shared" si="10"/>
        <v>82.89292388955346</v>
      </c>
      <c r="AA27" s="7">
        <f t="shared" si="11"/>
        <v>97.0530221302832</v>
      </c>
      <c r="AB27" s="8">
        <f t="shared" si="12"/>
        <v>97.0530221302832</v>
      </c>
      <c r="AC27" s="9">
        <f t="shared" si="13"/>
        <v>-0.12278780396897285</v>
      </c>
      <c r="AD27" s="9">
        <f t="shared" si="14"/>
        <v>0.12278780396897293</v>
      </c>
      <c r="AE27" s="9">
        <f t="shared" si="15"/>
        <v>0.984807753012208</v>
      </c>
      <c r="AF27" s="10">
        <f t="shared" si="16"/>
        <v>89.99999999999997</v>
      </c>
      <c r="AG27" s="8">
        <f t="shared" si="17"/>
        <v>79.99999999999999</v>
      </c>
      <c r="AH27" s="9">
        <f t="shared" si="18"/>
        <v>-3.6833221916427865E-05</v>
      </c>
      <c r="AI27" s="11"/>
      <c r="AJ27" s="16"/>
      <c r="AK27" s="77">
        <v>38</v>
      </c>
      <c r="AL27" s="78">
        <v>47</v>
      </c>
      <c r="AM27" s="5">
        <f t="shared" si="19"/>
        <v>7</v>
      </c>
      <c r="AN27" s="3">
        <f t="shared" si="20"/>
        <v>277</v>
      </c>
      <c r="AO27" s="6">
        <f t="shared" si="21"/>
        <v>82.89292388955346</v>
      </c>
      <c r="AP27" s="10"/>
      <c r="AQ27" s="7"/>
      <c r="AR27" s="10"/>
      <c r="AS27" s="17"/>
      <c r="AT27" s="18" t="s">
        <v>77</v>
      </c>
    </row>
    <row r="28" spans="1:45" ht="15">
      <c r="A28" s="11" t="s">
        <v>45</v>
      </c>
      <c r="B28" s="13" t="s">
        <v>46</v>
      </c>
      <c r="C28" s="13">
        <v>2</v>
      </c>
      <c r="D28" s="14">
        <v>7</v>
      </c>
      <c r="E28" s="19" t="s">
        <v>48</v>
      </c>
      <c r="F28" s="13"/>
      <c r="G28" s="45">
        <f t="shared" si="28"/>
        <v>17.4954</v>
      </c>
      <c r="H28" s="45">
        <f t="shared" si="28"/>
        <v>17.514</v>
      </c>
      <c r="I28" s="1">
        <f t="shared" si="1"/>
        <v>17.5047</v>
      </c>
      <c r="J28" s="55">
        <v>8</v>
      </c>
      <c r="K28" s="55">
        <v>10</v>
      </c>
      <c r="L28" s="14">
        <f t="shared" si="26"/>
        <v>9</v>
      </c>
      <c r="M28" s="52">
        <v>180</v>
      </c>
      <c r="N28" s="53">
        <v>0</v>
      </c>
      <c r="O28" s="53">
        <v>270</v>
      </c>
      <c r="P28" s="53">
        <v>14</v>
      </c>
      <c r="Q28" s="16"/>
      <c r="R28" s="54"/>
      <c r="S28" s="2">
        <f t="shared" si="3"/>
        <v>2.963902366024974E-17</v>
      </c>
      <c r="T28" s="2">
        <f t="shared" si="4"/>
        <v>0.24192189559966773</v>
      </c>
      <c r="U28" s="2">
        <f t="shared" si="5"/>
        <v>0.9702957262759965</v>
      </c>
      <c r="V28" s="3">
        <f t="shared" si="6"/>
        <v>90</v>
      </c>
      <c r="W28" s="4">
        <f t="shared" si="7"/>
        <v>76</v>
      </c>
      <c r="X28" s="5">
        <f t="shared" si="25"/>
        <v>270</v>
      </c>
      <c r="Y28" s="3">
        <f t="shared" si="9"/>
        <v>180</v>
      </c>
      <c r="Z28" s="6">
        <f t="shared" si="10"/>
        <v>14</v>
      </c>
      <c r="AA28" s="7">
        <f t="shared" si="11"/>
        <v>90.00000000000001</v>
      </c>
      <c r="AB28" s="8">
        <f t="shared" si="12"/>
        <v>90.00000000000001</v>
      </c>
      <c r="AC28" s="9">
        <f t="shared" si="13"/>
        <v>-3.828317871046316E-16</v>
      </c>
      <c r="AD28" s="9">
        <f t="shared" si="14"/>
        <v>0.9702957262759965</v>
      </c>
      <c r="AE28" s="9">
        <f t="shared" si="15"/>
        <v>0.24192189559966773</v>
      </c>
      <c r="AF28" s="10">
        <f t="shared" si="16"/>
        <v>270</v>
      </c>
      <c r="AG28" s="8">
        <f t="shared" si="17"/>
        <v>14</v>
      </c>
      <c r="AH28" s="9">
        <f t="shared" si="18"/>
        <v>-2.821217780309024E-20</v>
      </c>
      <c r="AI28" s="11"/>
      <c r="AJ28" s="16"/>
      <c r="AK28" s="77">
        <v>38</v>
      </c>
      <c r="AL28" s="78">
        <v>47</v>
      </c>
      <c r="AM28" s="5">
        <f t="shared" si="19"/>
        <v>232</v>
      </c>
      <c r="AN28" s="3">
        <f t="shared" si="20"/>
        <v>142</v>
      </c>
      <c r="AO28" s="6">
        <f t="shared" si="21"/>
        <v>14</v>
      </c>
      <c r="AP28" s="10"/>
      <c r="AQ28" s="7"/>
      <c r="AR28" s="10"/>
      <c r="AS28" s="17"/>
    </row>
    <row r="29" spans="1:45" ht="15">
      <c r="A29" s="11" t="s">
        <v>45</v>
      </c>
      <c r="B29" s="13" t="s">
        <v>46</v>
      </c>
      <c r="C29" s="13">
        <v>2</v>
      </c>
      <c r="D29" s="14">
        <v>7</v>
      </c>
      <c r="E29" s="19" t="s">
        <v>48</v>
      </c>
      <c r="F29" s="13"/>
      <c r="G29" s="45">
        <f t="shared" si="28"/>
        <v>17.6814</v>
      </c>
      <c r="H29" s="45">
        <f t="shared" si="28"/>
        <v>17.7093</v>
      </c>
      <c r="I29" s="1">
        <f t="shared" si="1"/>
        <v>17.695349999999998</v>
      </c>
      <c r="J29" s="55">
        <v>28</v>
      </c>
      <c r="K29" s="55">
        <v>31</v>
      </c>
      <c r="L29" s="14">
        <f t="shared" si="26"/>
        <v>29.5</v>
      </c>
      <c r="M29" s="52">
        <v>180</v>
      </c>
      <c r="N29" s="53">
        <v>0</v>
      </c>
      <c r="O29" s="53">
        <v>270</v>
      </c>
      <c r="P29" s="53">
        <v>14</v>
      </c>
      <c r="Q29" s="16"/>
      <c r="R29" s="54"/>
      <c r="S29" s="2">
        <f t="shared" si="3"/>
        <v>2.963902366024974E-17</v>
      </c>
      <c r="T29" s="2">
        <f t="shared" si="4"/>
        <v>0.24192189559966773</v>
      </c>
      <c r="U29" s="2">
        <f t="shared" si="5"/>
        <v>0.9702957262759965</v>
      </c>
      <c r="V29" s="3">
        <f t="shared" si="6"/>
        <v>90</v>
      </c>
      <c r="W29" s="4">
        <f t="shared" si="7"/>
        <v>76</v>
      </c>
      <c r="X29" s="5">
        <f t="shared" si="25"/>
        <v>270</v>
      </c>
      <c r="Y29" s="3">
        <f t="shared" si="9"/>
        <v>180</v>
      </c>
      <c r="Z29" s="6">
        <f t="shared" si="10"/>
        <v>14</v>
      </c>
      <c r="AA29" s="7">
        <f t="shared" si="11"/>
        <v>90.00000000000001</v>
      </c>
      <c r="AB29" s="8">
        <f t="shared" si="12"/>
        <v>90.00000000000001</v>
      </c>
      <c r="AC29" s="9">
        <f t="shared" si="13"/>
        <v>-3.828317871046316E-16</v>
      </c>
      <c r="AD29" s="9">
        <f t="shared" si="14"/>
        <v>0.9702957262759965</v>
      </c>
      <c r="AE29" s="9">
        <f t="shared" si="15"/>
        <v>0.24192189559966773</v>
      </c>
      <c r="AF29" s="10">
        <f t="shared" si="16"/>
        <v>270</v>
      </c>
      <c r="AG29" s="8">
        <f t="shared" si="17"/>
        <v>14</v>
      </c>
      <c r="AH29" s="9">
        <f t="shared" si="18"/>
        <v>-2.821217780309024E-20</v>
      </c>
      <c r="AI29" s="11"/>
      <c r="AJ29" s="16"/>
      <c r="AK29" s="77">
        <v>38</v>
      </c>
      <c r="AL29" s="78">
        <v>47</v>
      </c>
      <c r="AM29" s="5">
        <f t="shared" si="19"/>
        <v>232</v>
      </c>
      <c r="AN29" s="3">
        <f t="shared" si="20"/>
        <v>142</v>
      </c>
      <c r="AO29" s="6">
        <f t="shared" si="21"/>
        <v>14</v>
      </c>
      <c r="AP29" s="10"/>
      <c r="AQ29" s="7"/>
      <c r="AR29" s="10"/>
      <c r="AS29" s="17"/>
    </row>
    <row r="30" spans="1:46" ht="15">
      <c r="A30" s="11" t="s">
        <v>45</v>
      </c>
      <c r="B30" s="13" t="s">
        <v>46</v>
      </c>
      <c r="C30" s="13">
        <v>2</v>
      </c>
      <c r="D30" s="14">
        <v>7</v>
      </c>
      <c r="E30" s="19" t="s">
        <v>49</v>
      </c>
      <c r="F30" s="13" t="s">
        <v>85</v>
      </c>
      <c r="G30" s="45">
        <f t="shared" si="28"/>
        <v>18.016199999999998</v>
      </c>
      <c r="H30" s="45">
        <f t="shared" si="28"/>
        <v>18.0441</v>
      </c>
      <c r="I30" s="1">
        <f t="shared" si="1"/>
        <v>18.03015</v>
      </c>
      <c r="J30" s="51">
        <v>64</v>
      </c>
      <c r="K30" s="51">
        <v>67</v>
      </c>
      <c r="L30" s="14">
        <f t="shared" si="26"/>
        <v>65.5</v>
      </c>
      <c r="M30" s="52">
        <v>180</v>
      </c>
      <c r="N30" s="53">
        <v>32</v>
      </c>
      <c r="O30" s="53">
        <v>270</v>
      </c>
      <c r="P30" s="53">
        <v>26</v>
      </c>
      <c r="Q30" s="16"/>
      <c r="R30" s="54"/>
      <c r="S30" s="2">
        <f t="shared" si="3"/>
        <v>0.47628827971203974</v>
      </c>
      <c r="T30" s="2">
        <f t="shared" si="4"/>
        <v>0.3717598164443861</v>
      </c>
      <c r="U30" s="2">
        <f t="shared" si="5"/>
        <v>0.7622205798007392</v>
      </c>
      <c r="V30" s="3">
        <f t="shared" si="6"/>
        <v>37.97329491915423</v>
      </c>
      <c r="W30" s="4">
        <f t="shared" si="7"/>
        <v>51.596770204412145</v>
      </c>
      <c r="X30" s="5">
        <f t="shared" si="25"/>
        <v>217.97329491915423</v>
      </c>
      <c r="Y30" s="3">
        <f t="shared" si="9"/>
        <v>127.97329491915423</v>
      </c>
      <c r="Z30" s="6">
        <f t="shared" si="10"/>
        <v>38.403229795587855</v>
      </c>
      <c r="AA30" s="7">
        <f t="shared" si="11"/>
        <v>135.11439916462624</v>
      </c>
      <c r="AB30" s="8">
        <f t="shared" si="12"/>
        <v>135.11439916462624</v>
      </c>
      <c r="AC30" s="9">
        <f t="shared" si="13"/>
        <v>-0.7085172099375906</v>
      </c>
      <c r="AD30" s="9">
        <f t="shared" si="14"/>
        <v>0.5530226947287802</v>
      </c>
      <c r="AE30" s="9">
        <f t="shared" si="15"/>
        <v>0.4383711467890771</v>
      </c>
      <c r="AF30" s="10">
        <f t="shared" si="16"/>
        <v>270</v>
      </c>
      <c r="AG30" s="8">
        <f t="shared" si="17"/>
        <v>25.999999999999986</v>
      </c>
      <c r="AH30" s="9">
        <f t="shared" si="18"/>
        <v>-9.46088568071831E-05</v>
      </c>
      <c r="AI30" s="11"/>
      <c r="AJ30" s="16"/>
      <c r="AK30" s="77">
        <v>38</v>
      </c>
      <c r="AL30" s="78">
        <v>47</v>
      </c>
      <c r="AM30" s="5">
        <f t="shared" si="19"/>
        <v>179.97329491915423</v>
      </c>
      <c r="AN30" s="3">
        <f t="shared" si="20"/>
        <v>89.97329491915423</v>
      </c>
      <c r="AO30" s="6">
        <f t="shared" si="21"/>
        <v>38.403229795587855</v>
      </c>
      <c r="AP30" s="10"/>
      <c r="AQ30" s="7"/>
      <c r="AR30" s="10"/>
      <c r="AS30" s="17"/>
      <c r="AT30" s="18" t="s">
        <v>90</v>
      </c>
    </row>
    <row r="31" spans="1:45" ht="15">
      <c r="A31" s="11" t="s">
        <v>45</v>
      </c>
      <c r="B31" s="13" t="s">
        <v>46</v>
      </c>
      <c r="C31" s="13">
        <v>2</v>
      </c>
      <c r="D31" s="14">
        <v>7</v>
      </c>
      <c r="E31" s="19" t="s">
        <v>47</v>
      </c>
      <c r="F31" s="13" t="s">
        <v>85</v>
      </c>
      <c r="G31" s="45">
        <f t="shared" si="28"/>
        <v>18.0348</v>
      </c>
      <c r="H31" s="45">
        <f t="shared" si="28"/>
        <v>18.1557</v>
      </c>
      <c r="I31" s="1">
        <f t="shared" si="1"/>
        <v>18.09525</v>
      </c>
      <c r="J31" s="51">
        <v>66</v>
      </c>
      <c r="K31" s="51">
        <v>79</v>
      </c>
      <c r="L31" s="14">
        <f t="shared" si="26"/>
        <v>72.5</v>
      </c>
      <c r="M31" s="52">
        <v>0</v>
      </c>
      <c r="N31" s="53">
        <v>33</v>
      </c>
      <c r="O31" s="53">
        <v>90</v>
      </c>
      <c r="P31" s="53">
        <v>63</v>
      </c>
      <c r="Q31" s="16"/>
      <c r="R31" s="54"/>
      <c r="S31" s="2">
        <f t="shared" si="3"/>
        <v>-0.24726094768413667</v>
      </c>
      <c r="T31" s="2">
        <f t="shared" si="4"/>
        <v>-0.7472609476841366</v>
      </c>
      <c r="U31" s="2">
        <f t="shared" si="5"/>
        <v>0.3807484702583926</v>
      </c>
      <c r="V31" s="3">
        <f t="shared" si="6"/>
        <v>251.6911525215017</v>
      </c>
      <c r="W31" s="4">
        <f t="shared" si="7"/>
        <v>25.814527492142705</v>
      </c>
      <c r="X31" s="5">
        <f t="shared" si="25"/>
        <v>71.69115252150169</v>
      </c>
      <c r="Y31" s="3">
        <f t="shared" si="9"/>
        <v>341.6911525215017</v>
      </c>
      <c r="Z31" s="6">
        <f t="shared" si="10"/>
        <v>64.1854725078573</v>
      </c>
      <c r="AA31" s="7">
        <f t="shared" si="11"/>
        <v>98.19925992194419</v>
      </c>
      <c r="AB31" s="8">
        <f t="shared" si="12"/>
        <v>98.19925992194419</v>
      </c>
      <c r="AC31" s="9">
        <f t="shared" si="13"/>
        <v>-0.14261614895318642</v>
      </c>
      <c r="AD31" s="9">
        <f t="shared" si="14"/>
        <v>0.43100812975108266</v>
      </c>
      <c r="AE31" s="9">
        <f t="shared" si="15"/>
        <v>0.8910065241883679</v>
      </c>
      <c r="AF31" s="10">
        <f t="shared" si="16"/>
        <v>89.99999999999999</v>
      </c>
      <c r="AG31" s="8">
        <f t="shared" si="17"/>
        <v>63.000000000000014</v>
      </c>
      <c r="AH31" s="9">
        <f t="shared" si="18"/>
        <v>-3.870672003338746E-05</v>
      </c>
      <c r="AI31" s="11"/>
      <c r="AJ31" s="16"/>
      <c r="AK31" s="77">
        <v>38</v>
      </c>
      <c r="AL31" s="78">
        <v>47</v>
      </c>
      <c r="AM31" s="5">
        <f t="shared" si="19"/>
        <v>33.69115252150169</v>
      </c>
      <c r="AN31" s="3">
        <f t="shared" si="20"/>
        <v>303.6911525215017</v>
      </c>
      <c r="AO31" s="6">
        <f t="shared" si="21"/>
        <v>64.1854725078573</v>
      </c>
      <c r="AP31" s="10"/>
      <c r="AQ31" s="7"/>
      <c r="AR31" s="10"/>
      <c r="AS31" s="17"/>
    </row>
    <row r="32" spans="1:45" ht="15">
      <c r="A32" s="11" t="s">
        <v>45</v>
      </c>
      <c r="B32" s="13" t="s">
        <v>46</v>
      </c>
      <c r="C32" s="13">
        <v>2</v>
      </c>
      <c r="D32" s="14">
        <v>7</v>
      </c>
      <c r="E32" s="19" t="s">
        <v>48</v>
      </c>
      <c r="F32" s="13"/>
      <c r="G32" s="45">
        <f t="shared" si="28"/>
        <v>18.2115</v>
      </c>
      <c r="H32" s="45">
        <f t="shared" si="28"/>
        <v>18.2394</v>
      </c>
      <c r="I32" s="1">
        <f t="shared" si="1"/>
        <v>18.225450000000002</v>
      </c>
      <c r="J32" s="51">
        <v>85</v>
      </c>
      <c r="K32" s="51">
        <v>88</v>
      </c>
      <c r="L32" s="14">
        <f t="shared" si="26"/>
        <v>86.5</v>
      </c>
      <c r="M32" s="52">
        <v>180</v>
      </c>
      <c r="N32" s="53">
        <v>0</v>
      </c>
      <c r="O32" s="53">
        <v>270</v>
      </c>
      <c r="P32" s="53">
        <v>8</v>
      </c>
      <c r="Q32" s="16"/>
      <c r="R32" s="54"/>
      <c r="S32" s="2">
        <f t="shared" si="3"/>
        <v>1.7050770960606556E-17</v>
      </c>
      <c r="T32" s="2">
        <f t="shared" si="4"/>
        <v>0.13917310096006544</v>
      </c>
      <c r="U32" s="2">
        <f t="shared" si="5"/>
        <v>0.9902680687415704</v>
      </c>
      <c r="V32" s="3">
        <f t="shared" si="6"/>
        <v>90</v>
      </c>
      <c r="W32" s="4">
        <f t="shared" si="7"/>
        <v>82.00000000000003</v>
      </c>
      <c r="X32" s="5">
        <f t="shared" si="25"/>
        <v>270</v>
      </c>
      <c r="Y32" s="3">
        <f t="shared" si="9"/>
        <v>180</v>
      </c>
      <c r="Z32" s="6">
        <f t="shared" si="10"/>
        <v>7.999999999999972</v>
      </c>
      <c r="AA32" s="7">
        <f t="shared" si="11"/>
        <v>90.00000000000001</v>
      </c>
      <c r="AB32" s="8">
        <f t="shared" si="12"/>
        <v>90.00000000000001</v>
      </c>
      <c r="AC32" s="9">
        <f t="shared" si="13"/>
        <v>-3.828317871046316E-16</v>
      </c>
      <c r="AD32" s="9">
        <f t="shared" si="14"/>
        <v>0.9902680687415704</v>
      </c>
      <c r="AE32" s="9">
        <f t="shared" si="15"/>
        <v>0.13917310096006494</v>
      </c>
      <c r="AF32" s="10">
        <f t="shared" si="16"/>
        <v>270</v>
      </c>
      <c r="AG32" s="8">
        <f t="shared" si="17"/>
        <v>7.999999999999972</v>
      </c>
      <c r="AH32" s="9">
        <f t="shared" si="18"/>
        <v>-1.6229965731534147E-20</v>
      </c>
      <c r="AI32" s="11"/>
      <c r="AJ32" s="16"/>
      <c r="AK32" s="77">
        <v>38</v>
      </c>
      <c r="AL32" s="78">
        <v>47</v>
      </c>
      <c r="AM32" s="5">
        <f t="shared" si="19"/>
        <v>232</v>
      </c>
      <c r="AN32" s="3">
        <f t="shared" si="20"/>
        <v>142</v>
      </c>
      <c r="AO32" s="6">
        <f t="shared" si="21"/>
        <v>7.999999999999972</v>
      </c>
      <c r="AP32" s="10"/>
      <c r="AQ32" s="7"/>
      <c r="AR32" s="10"/>
      <c r="AS32" s="17"/>
    </row>
    <row r="33" spans="1:45" ht="15">
      <c r="A33" s="11" t="s">
        <v>45</v>
      </c>
      <c r="B33" s="13" t="s">
        <v>46</v>
      </c>
      <c r="C33" s="13">
        <v>2</v>
      </c>
      <c r="D33" s="14">
        <v>9</v>
      </c>
      <c r="E33" s="19" t="s">
        <v>48</v>
      </c>
      <c r="F33" s="13"/>
      <c r="G33" s="45">
        <f aca="true" t="shared" si="29" ref="G33:H39">J33*0.93/100+18.452</f>
        <v>18.7496</v>
      </c>
      <c r="H33" s="45">
        <f t="shared" si="29"/>
        <v>18.7496</v>
      </c>
      <c r="I33" s="1">
        <f t="shared" si="1"/>
        <v>18.7496</v>
      </c>
      <c r="J33" s="51">
        <v>32</v>
      </c>
      <c r="K33" s="51">
        <v>32</v>
      </c>
      <c r="L33" s="14">
        <f t="shared" si="26"/>
        <v>32</v>
      </c>
      <c r="M33" s="52">
        <v>0</v>
      </c>
      <c r="N33" s="53">
        <v>0</v>
      </c>
      <c r="O33" s="53">
        <v>90</v>
      </c>
      <c r="P33" s="53">
        <v>11</v>
      </c>
      <c r="Q33" s="16"/>
      <c r="R33" s="54"/>
      <c r="S33" s="2">
        <f t="shared" si="3"/>
        <v>0</v>
      </c>
      <c r="T33" s="2">
        <f t="shared" si="4"/>
        <v>-0.1908089953765448</v>
      </c>
      <c r="U33" s="2">
        <f t="shared" si="5"/>
        <v>0.981627183447664</v>
      </c>
      <c r="V33" s="3">
        <f t="shared" si="6"/>
        <v>270</v>
      </c>
      <c r="W33" s="4">
        <f t="shared" si="7"/>
        <v>79.00000000000001</v>
      </c>
      <c r="X33" s="5">
        <f t="shared" si="25"/>
        <v>90</v>
      </c>
      <c r="Y33" s="3">
        <f t="shared" si="9"/>
        <v>0</v>
      </c>
      <c r="Z33" s="6">
        <f t="shared" si="10"/>
        <v>10.999999999999986</v>
      </c>
      <c r="AA33" s="7">
        <f t="shared" si="11"/>
        <v>90</v>
      </c>
      <c r="AB33" s="8">
        <f t="shared" si="12"/>
        <v>90</v>
      </c>
      <c r="AC33" s="9">
        <f t="shared" si="13"/>
        <v>6.1257422745431E-17</v>
      </c>
      <c r="AD33" s="9">
        <f t="shared" si="14"/>
        <v>0.981627183447664</v>
      </c>
      <c r="AE33" s="9">
        <f t="shared" si="15"/>
        <v>0.19080899537654455</v>
      </c>
      <c r="AF33" s="10">
        <f t="shared" si="16"/>
        <v>90</v>
      </c>
      <c r="AG33" s="8">
        <f t="shared" si="17"/>
        <v>10.999999999999988</v>
      </c>
      <c r="AH33" s="9">
        <f t="shared" si="18"/>
        <v>3.560504166857047E-21</v>
      </c>
      <c r="AI33" s="11"/>
      <c r="AJ33" s="16"/>
      <c r="AK33" s="77">
        <v>38</v>
      </c>
      <c r="AL33" s="78">
        <v>47</v>
      </c>
      <c r="AM33" s="5">
        <f t="shared" si="19"/>
        <v>52</v>
      </c>
      <c r="AN33" s="3">
        <f t="shared" si="20"/>
        <v>322</v>
      </c>
      <c r="AO33" s="6">
        <f t="shared" si="21"/>
        <v>10.999999999999986</v>
      </c>
      <c r="AP33" s="10"/>
      <c r="AQ33" s="7"/>
      <c r="AR33" s="10"/>
      <c r="AS33" s="17"/>
    </row>
    <row r="34" spans="1:46" ht="15">
      <c r="A34" s="11" t="s">
        <v>45</v>
      </c>
      <c r="B34" s="13" t="s">
        <v>46</v>
      </c>
      <c r="C34" s="13">
        <v>2</v>
      </c>
      <c r="D34" s="14">
        <v>9</v>
      </c>
      <c r="E34" s="19" t="s">
        <v>47</v>
      </c>
      <c r="F34" s="13" t="s">
        <v>54</v>
      </c>
      <c r="G34" s="45">
        <f t="shared" si="29"/>
        <v>18.712400000000002</v>
      </c>
      <c r="H34" s="45">
        <f t="shared" si="29"/>
        <v>18.8519</v>
      </c>
      <c r="I34" s="1">
        <f t="shared" si="1"/>
        <v>18.78215</v>
      </c>
      <c r="J34" s="51">
        <v>28</v>
      </c>
      <c r="K34" s="51">
        <v>43</v>
      </c>
      <c r="L34" s="14">
        <f t="shared" si="26"/>
        <v>35.5</v>
      </c>
      <c r="M34" s="52">
        <v>0</v>
      </c>
      <c r="N34" s="53">
        <v>51</v>
      </c>
      <c r="O34" s="53">
        <v>270</v>
      </c>
      <c r="P34" s="53">
        <v>63</v>
      </c>
      <c r="Q34" s="16"/>
      <c r="R34" s="54"/>
      <c r="S34" s="2">
        <f t="shared" si="3"/>
        <v>0.35281688341242073</v>
      </c>
      <c r="T34" s="2">
        <f t="shared" si="4"/>
        <v>-0.5607285742301802</v>
      </c>
      <c r="U34" s="2">
        <f t="shared" si="5"/>
        <v>-0.28570547882900277</v>
      </c>
      <c r="V34" s="3">
        <f t="shared" si="6"/>
        <v>302.17857598793626</v>
      </c>
      <c r="W34" s="4">
        <f t="shared" si="7"/>
        <v>-23.32852917870811</v>
      </c>
      <c r="X34" s="5">
        <f t="shared" si="25"/>
        <v>302.17857598793626</v>
      </c>
      <c r="Y34" s="3">
        <f t="shared" si="9"/>
        <v>212.17857598793626</v>
      </c>
      <c r="Z34" s="6">
        <f t="shared" si="10"/>
        <v>66.67147082129189</v>
      </c>
      <c r="AA34" s="7">
        <f t="shared" si="11"/>
        <v>76.00854977758833</v>
      </c>
      <c r="AB34" s="8">
        <f t="shared" si="12"/>
        <v>76.00854977758833</v>
      </c>
      <c r="AC34" s="9">
        <f t="shared" si="13"/>
        <v>0.2417771036618005</v>
      </c>
      <c r="AD34" s="9">
        <f t="shared" si="14"/>
        <v>0.3842540904124177</v>
      </c>
      <c r="AE34" s="9">
        <f t="shared" si="15"/>
        <v>0.8910065241883678</v>
      </c>
      <c r="AF34" s="10">
        <f t="shared" si="16"/>
        <v>269.99999999999994</v>
      </c>
      <c r="AG34" s="8">
        <f t="shared" si="17"/>
        <v>63</v>
      </c>
      <c r="AH34" s="9">
        <f t="shared" si="18"/>
        <v>6.561936092433055E-05</v>
      </c>
      <c r="AI34" s="11"/>
      <c r="AJ34" s="16"/>
      <c r="AK34" s="77">
        <v>38</v>
      </c>
      <c r="AL34" s="78">
        <v>47</v>
      </c>
      <c r="AM34" s="5">
        <f t="shared" si="19"/>
        <v>264.17857598793626</v>
      </c>
      <c r="AN34" s="3">
        <f t="shared" si="20"/>
        <v>174.17857598793626</v>
      </c>
      <c r="AO34" s="6">
        <f t="shared" si="21"/>
        <v>66.67147082129189</v>
      </c>
      <c r="AP34" s="10"/>
      <c r="AQ34" s="7"/>
      <c r="AR34" s="10"/>
      <c r="AS34" s="17"/>
      <c r="AT34" s="18" t="s">
        <v>81</v>
      </c>
    </row>
    <row r="35" spans="1:45" ht="15">
      <c r="A35" s="11" t="s">
        <v>45</v>
      </c>
      <c r="B35" s="13" t="s">
        <v>46</v>
      </c>
      <c r="C35" s="13">
        <v>2</v>
      </c>
      <c r="D35" s="14">
        <v>9</v>
      </c>
      <c r="E35" s="19" t="s">
        <v>47</v>
      </c>
      <c r="F35" s="13" t="s">
        <v>54</v>
      </c>
      <c r="G35" s="45">
        <f t="shared" si="29"/>
        <v>18.777500000000003</v>
      </c>
      <c r="H35" s="45">
        <f t="shared" si="29"/>
        <v>18.879800000000003</v>
      </c>
      <c r="I35" s="1">
        <f aca="true" t="shared" si="30" ref="I35:I66">(G35+H35)/2</f>
        <v>18.828650000000003</v>
      </c>
      <c r="J35" s="51">
        <v>35</v>
      </c>
      <c r="K35" s="51">
        <v>46</v>
      </c>
      <c r="L35" s="14">
        <f t="shared" si="26"/>
        <v>40.5</v>
      </c>
      <c r="M35" s="52">
        <v>0</v>
      </c>
      <c r="N35" s="53">
        <v>40</v>
      </c>
      <c r="O35" s="53">
        <v>270</v>
      </c>
      <c r="P35" s="53">
        <v>56</v>
      </c>
      <c r="Q35" s="16"/>
      <c r="R35" s="54"/>
      <c r="S35" s="2">
        <f aca="true" t="shared" si="31" ref="S35:S66">COS(N35*PI()/180)*SIN(M35*PI()/180)*(SIN(P35*PI()/180))-(COS(P35*PI()/180)*SIN(O35*PI()/180))*(SIN(N35*PI()/180))</f>
        <v>0.35944226977563704</v>
      </c>
      <c r="T35" s="2">
        <f aca="true" t="shared" si="32" ref="T35:T66">(SIN(N35*PI()/180))*(COS(P35*PI()/180)*COS(O35*PI()/180))-(SIN(P35*PI()/180))*(COS(N35*PI()/180)*COS(M35*PI()/180))</f>
        <v>-0.6350796255926364</v>
      </c>
      <c r="U35" s="2">
        <f aca="true" t="shared" si="33" ref="U35:U66">(COS(N35*PI()/180)*COS(M35*PI()/180))*(COS(P35*PI()/180)*SIN(O35*PI()/180))-(COS(N35*PI()/180)*SIN(M35*PI()/180))*(COS(P35*PI()/180)*COS(O35*PI()/180))</f>
        <v>-0.42836661633533263</v>
      </c>
      <c r="V35" s="3">
        <f aca="true" t="shared" si="34" ref="V35:V66">IF(S35=0,IF(T35&gt;=0,90,270),IF(S35&gt;0,IF(T35&gt;=0,ATAN(T35/S35)*180/PI(),ATAN(T35/S35)*180/PI()+360),ATAN(T35/S35)*180/PI()+180))</f>
        <v>299.5089865670343</v>
      </c>
      <c r="W35" s="4">
        <f aca="true" t="shared" si="35" ref="W35:W66">ASIN(U35/SQRT(S35^2+T35^2+U35^2))*180/PI()</f>
        <v>-30.41336983779015</v>
      </c>
      <c r="X35" s="5">
        <f t="shared" si="25"/>
        <v>299.5089865670343</v>
      </c>
      <c r="Y35" s="3">
        <f aca="true" t="shared" si="36" ref="Y35:Y66">IF(X35-90&lt;0,X35+270,X35-90)</f>
        <v>209.5089865670343</v>
      </c>
      <c r="Z35" s="6">
        <f aca="true" t="shared" si="37" ref="Z35:Z66">IF(U35&lt;0,90+W35,90-W35)</f>
        <v>59.58663016220985</v>
      </c>
      <c r="AA35" s="7">
        <f aca="true" t="shared" si="38" ref="AA35:AA66">IF(-T35&lt;0,180-ACOS(SIN((X35-90)*PI()/180)*U35/SQRT(T35^2+U35^2))*180/PI(),ACOS(SIN((X35-90)*PI()/180)*U35/SQRT(T35^2+U35^2))*180/PI())</f>
        <v>74.01199586560394</v>
      </c>
      <c r="AB35" s="8">
        <f aca="true" t="shared" si="39" ref="AB35:AB66">IF(R35=90,IF(AA35-Q35&lt;0,AA35-Q35+180,AA35-Q35),IF(AA35+Q35&gt;180,AA35+Q35-180,AA35+Q35))</f>
        <v>74.01199586560394</v>
      </c>
      <c r="AC35" s="9">
        <f aca="true" t="shared" si="40" ref="AC35:AC66">COS(AB35*PI()/180)</f>
        <v>0.2754360929619351</v>
      </c>
      <c r="AD35" s="9">
        <f aca="true" t="shared" si="41" ref="AD35:AD66">SIN(AB35*PI()/180)*COS(Z35*PI()/180)</f>
        <v>0.4866535338265903</v>
      </c>
      <c r="AE35" s="9">
        <f aca="true" t="shared" si="42" ref="AE35:AE66">SIN(AB35*PI()/180)*SIN(Z35*PI()/180)</f>
        <v>0.8290375725550416</v>
      </c>
      <c r="AF35" s="10">
        <f aca="true" t="shared" si="43" ref="AF35:AF66">IF(IF(AC35=0,IF(AD35&gt;=0,90,270),IF(AC35&gt;0,IF(AD35&gt;=0,ATAN(AD35/AC35)*180/PI(),ATAN(AD35/AC35)*180/PI()+360),ATAN(AD35/AC35)*180/PI()+180))-(360-Y35)&lt;0,IF(AC35=0,IF(AD35&gt;=0,90,270),IF(AC35&gt;0,IF(AD35&gt;=0,ATAN(AD35/AC35)*180/PI(),ATAN(AD35/AC35)*180/PI()+360),ATAN(AD35/AC35)*180/PI()+180))+Y35,IF(AC35=0,IF(AD35&gt;=0,90,270),IF(AC35&gt;0,IF(AD35&gt;=0,ATAN(AD35/AC35)*180/PI(),ATAN(AD35/AC35)*180/PI()+360),ATAN(AD35/AC35)*180/PI()+180))-(360-Y35))</f>
        <v>270</v>
      </c>
      <c r="AG35" s="8">
        <f aca="true" t="shared" si="44" ref="AG35:AG66">ASIN(AE35/SQRT(AC35^2+AD35^2+AE35^2))*180/PI()</f>
        <v>56</v>
      </c>
      <c r="AH35" s="9">
        <f aca="true" t="shared" si="45" ref="AH35:AH66">SIN(AE35*PI()/180)*SIN(AC35*PI()/180)</f>
        <v>6.955573926915291E-05</v>
      </c>
      <c r="AI35" s="11"/>
      <c r="AJ35" s="16"/>
      <c r="AK35" s="77">
        <v>38</v>
      </c>
      <c r="AL35" s="78">
        <v>47</v>
      </c>
      <c r="AM35" s="5">
        <f aca="true" t="shared" si="46" ref="AM35:AM66">IF(AL35&gt;=0,IF(X35&gt;=AK35,X35-AK35,X35-AK35+360),IF((X35-AK35-180)&lt;0,IF(X35-AK35+180&lt;0,X35-AK35+540,X35-AK35+180),X35-AK35-180))</f>
        <v>261.5089865670343</v>
      </c>
      <c r="AN35" s="3">
        <f aca="true" t="shared" si="47" ref="AN35:AN66">IF(AM35-90&lt;0,AM35+270,AM35-90)</f>
        <v>171.5089865670343</v>
      </c>
      <c r="AO35" s="6">
        <f aca="true" t="shared" si="48" ref="AO35:AO61">Z35</f>
        <v>59.58663016220985</v>
      </c>
      <c r="AP35" s="10"/>
      <c r="AQ35" s="7"/>
      <c r="AR35" s="10"/>
      <c r="AS35" s="17"/>
    </row>
    <row r="36" spans="1:45" ht="15">
      <c r="A36" s="11" t="s">
        <v>45</v>
      </c>
      <c r="B36" s="13" t="s">
        <v>46</v>
      </c>
      <c r="C36" s="13">
        <v>2</v>
      </c>
      <c r="D36" s="14">
        <v>9</v>
      </c>
      <c r="E36" s="19" t="s">
        <v>47</v>
      </c>
      <c r="F36" s="13" t="s">
        <v>54</v>
      </c>
      <c r="G36" s="45">
        <f t="shared" si="29"/>
        <v>18.907700000000002</v>
      </c>
      <c r="H36" s="45">
        <f t="shared" si="29"/>
        <v>19.0472</v>
      </c>
      <c r="I36" s="1">
        <f t="shared" si="30"/>
        <v>18.97745</v>
      </c>
      <c r="J36" s="51">
        <v>49</v>
      </c>
      <c r="K36" s="51">
        <v>64</v>
      </c>
      <c r="L36" s="14">
        <f t="shared" si="26"/>
        <v>56.5</v>
      </c>
      <c r="M36" s="52">
        <v>0</v>
      </c>
      <c r="N36" s="53">
        <v>45</v>
      </c>
      <c r="O36" s="53">
        <v>270</v>
      </c>
      <c r="P36" s="53">
        <v>62</v>
      </c>
      <c r="Q36" s="16"/>
      <c r="R36" s="54"/>
      <c r="S36" s="2">
        <f t="shared" si="31"/>
        <v>0.3319665256201494</v>
      </c>
      <c r="T36" s="2">
        <f t="shared" si="32"/>
        <v>-0.6243382303428862</v>
      </c>
      <c r="U36" s="2">
        <f t="shared" si="33"/>
        <v>-0.33196652562014944</v>
      </c>
      <c r="V36" s="3">
        <f t="shared" si="34"/>
        <v>298</v>
      </c>
      <c r="W36" s="4">
        <f t="shared" si="35"/>
        <v>-25.14872037946644</v>
      </c>
      <c r="X36" s="5">
        <f t="shared" si="25"/>
        <v>298</v>
      </c>
      <c r="Y36" s="3">
        <f t="shared" si="36"/>
        <v>208</v>
      </c>
      <c r="Z36" s="6">
        <f t="shared" si="37"/>
        <v>64.85127962053356</v>
      </c>
      <c r="AA36" s="7">
        <f t="shared" si="38"/>
        <v>77.26726357683033</v>
      </c>
      <c r="AB36" s="8">
        <f t="shared" si="39"/>
        <v>77.26726357683033</v>
      </c>
      <c r="AC36" s="9">
        <f t="shared" si="40"/>
        <v>0.22040354826462663</v>
      </c>
      <c r="AD36" s="9">
        <f t="shared" si="41"/>
        <v>0.41451878627752087</v>
      </c>
      <c r="AE36" s="9">
        <f t="shared" si="42"/>
        <v>0.882947592858927</v>
      </c>
      <c r="AF36" s="10">
        <f t="shared" si="43"/>
        <v>270</v>
      </c>
      <c r="AG36" s="8">
        <f t="shared" si="44"/>
        <v>62.00000000000001</v>
      </c>
      <c r="AH36" s="9">
        <f t="shared" si="45"/>
        <v>5.927751423599809E-05</v>
      </c>
      <c r="AI36" s="11"/>
      <c r="AJ36" s="16"/>
      <c r="AK36" s="77">
        <v>38</v>
      </c>
      <c r="AL36" s="78">
        <v>47</v>
      </c>
      <c r="AM36" s="5">
        <f t="shared" si="46"/>
        <v>260</v>
      </c>
      <c r="AN36" s="3">
        <f t="shared" si="47"/>
        <v>170</v>
      </c>
      <c r="AO36" s="6">
        <f t="shared" si="48"/>
        <v>64.85127962053356</v>
      </c>
      <c r="AP36" s="10"/>
      <c r="AQ36" s="7"/>
      <c r="AR36" s="10"/>
      <c r="AS36" s="17"/>
    </row>
    <row r="37" spans="1:45" ht="15">
      <c r="A37" s="11" t="s">
        <v>45</v>
      </c>
      <c r="B37" s="13" t="s">
        <v>46</v>
      </c>
      <c r="C37" s="13">
        <v>2</v>
      </c>
      <c r="D37" s="14">
        <v>9</v>
      </c>
      <c r="E37" s="19" t="s">
        <v>48</v>
      </c>
      <c r="F37" s="13"/>
      <c r="G37" s="45">
        <f t="shared" si="29"/>
        <v>19.1216</v>
      </c>
      <c r="H37" s="45">
        <f t="shared" si="29"/>
        <v>19.158800000000003</v>
      </c>
      <c r="I37" s="1">
        <f t="shared" si="30"/>
        <v>19.1402</v>
      </c>
      <c r="J37" s="51">
        <v>72</v>
      </c>
      <c r="K37" s="51">
        <v>76</v>
      </c>
      <c r="L37" s="14">
        <f t="shared" si="26"/>
        <v>74</v>
      </c>
      <c r="M37" s="52">
        <v>180</v>
      </c>
      <c r="N37" s="53">
        <v>15</v>
      </c>
      <c r="O37" s="53">
        <v>90</v>
      </c>
      <c r="P37" s="53">
        <v>25</v>
      </c>
      <c r="Q37" s="16"/>
      <c r="R37" s="54"/>
      <c r="S37" s="2">
        <f t="shared" si="31"/>
        <v>-0.23456971600980442</v>
      </c>
      <c r="T37" s="2">
        <f t="shared" si="32"/>
        <v>0.40821789367673483</v>
      </c>
      <c r="U37" s="2">
        <f t="shared" si="33"/>
        <v>-0.875426098065593</v>
      </c>
      <c r="V37" s="3">
        <f t="shared" si="34"/>
        <v>119.88248913028352</v>
      </c>
      <c r="W37" s="4">
        <f t="shared" si="35"/>
        <v>-61.72819149498213</v>
      </c>
      <c r="X37" s="5">
        <f t="shared" si="25"/>
        <v>119.88248913028352</v>
      </c>
      <c r="Y37" s="3">
        <f t="shared" si="36"/>
        <v>29.882489130283517</v>
      </c>
      <c r="Z37" s="6">
        <f t="shared" si="37"/>
        <v>28.271808505017873</v>
      </c>
      <c r="AA37" s="7">
        <f t="shared" si="38"/>
        <v>63.157264085372475</v>
      </c>
      <c r="AB37" s="8">
        <f t="shared" si="39"/>
        <v>63.157264085372475</v>
      </c>
      <c r="AC37" s="9">
        <f t="shared" si="40"/>
        <v>0.45154317927649057</v>
      </c>
      <c r="AD37" s="9">
        <f t="shared" si="41"/>
        <v>0.7858133124935903</v>
      </c>
      <c r="AE37" s="9">
        <f t="shared" si="42"/>
        <v>0.42261826174069916</v>
      </c>
      <c r="AF37" s="10">
        <f t="shared" si="43"/>
        <v>90</v>
      </c>
      <c r="AG37" s="8">
        <f t="shared" si="44"/>
        <v>24.999999999999982</v>
      </c>
      <c r="AH37" s="9">
        <f t="shared" si="45"/>
        <v>5.812913325678944E-05</v>
      </c>
      <c r="AI37" s="11"/>
      <c r="AJ37" s="16"/>
      <c r="AK37" s="77">
        <v>38</v>
      </c>
      <c r="AL37" s="78">
        <v>47</v>
      </c>
      <c r="AM37" s="5">
        <f t="shared" si="46"/>
        <v>81.88248913028352</v>
      </c>
      <c r="AN37" s="3">
        <f t="shared" si="47"/>
        <v>351.8824891302835</v>
      </c>
      <c r="AO37" s="6">
        <f t="shared" si="48"/>
        <v>28.271808505017873</v>
      </c>
      <c r="AP37" s="10"/>
      <c r="AQ37" s="7"/>
      <c r="AR37" s="10"/>
      <c r="AS37" s="17"/>
    </row>
    <row r="38" spans="1:46" ht="15">
      <c r="A38" s="11" t="s">
        <v>45</v>
      </c>
      <c r="B38" s="13" t="s">
        <v>46</v>
      </c>
      <c r="C38" s="13">
        <v>2</v>
      </c>
      <c r="D38" s="14">
        <v>9</v>
      </c>
      <c r="E38" s="19" t="s">
        <v>47</v>
      </c>
      <c r="F38" s="13" t="s">
        <v>85</v>
      </c>
      <c r="G38" s="45">
        <f t="shared" si="29"/>
        <v>19.093700000000002</v>
      </c>
      <c r="H38" s="45">
        <f t="shared" si="29"/>
        <v>19.2146</v>
      </c>
      <c r="I38" s="1">
        <f t="shared" si="30"/>
        <v>19.15415</v>
      </c>
      <c r="J38" s="51">
        <v>69</v>
      </c>
      <c r="K38" s="51">
        <v>82</v>
      </c>
      <c r="L38" s="14">
        <f t="shared" si="26"/>
        <v>75.5</v>
      </c>
      <c r="M38" s="52">
        <v>90</v>
      </c>
      <c r="N38" s="53">
        <v>70</v>
      </c>
      <c r="O38" s="53">
        <v>180</v>
      </c>
      <c r="P38" s="53">
        <v>65</v>
      </c>
      <c r="Q38" s="16"/>
      <c r="R38" s="54"/>
      <c r="S38" s="2">
        <f t="shared" si="31"/>
        <v>0.3099755192194447</v>
      </c>
      <c r="T38" s="2">
        <f t="shared" si="32"/>
        <v>-0.3971312619671028</v>
      </c>
      <c r="U38" s="2">
        <f t="shared" si="33"/>
        <v>0.14454395845259904</v>
      </c>
      <c r="V38" s="3">
        <f t="shared" si="34"/>
        <v>307.97334418923424</v>
      </c>
      <c r="W38" s="4">
        <f t="shared" si="35"/>
        <v>16.00906824793345</v>
      </c>
      <c r="X38" s="5">
        <f t="shared" si="25"/>
        <v>127.97334418923424</v>
      </c>
      <c r="Y38" s="3">
        <f t="shared" si="36"/>
        <v>37.97334418923424</v>
      </c>
      <c r="Z38" s="6">
        <f t="shared" si="37"/>
        <v>73.99093175206656</v>
      </c>
      <c r="AA38" s="7">
        <f t="shared" si="38"/>
        <v>77.85167290392862</v>
      </c>
      <c r="AB38" s="8">
        <f t="shared" si="39"/>
        <v>77.85167290392862</v>
      </c>
      <c r="AC38" s="9">
        <f t="shared" si="40"/>
        <v>0.2104432160798573</v>
      </c>
      <c r="AD38" s="9">
        <f t="shared" si="41"/>
        <v>0.26961348491215603</v>
      </c>
      <c r="AE38" s="9">
        <f t="shared" si="42"/>
        <v>0.9396926207859084</v>
      </c>
      <c r="AF38" s="10">
        <f t="shared" si="43"/>
        <v>89.99999999999999</v>
      </c>
      <c r="AG38" s="8">
        <f t="shared" si="44"/>
        <v>70</v>
      </c>
      <c r="AH38" s="9">
        <f t="shared" si="45"/>
        <v>6.023584894329074E-05</v>
      </c>
      <c r="AI38" s="11"/>
      <c r="AJ38" s="16"/>
      <c r="AK38" s="77">
        <v>38</v>
      </c>
      <c r="AL38" s="78">
        <v>47</v>
      </c>
      <c r="AM38" s="5">
        <f t="shared" si="46"/>
        <v>89.97334418923424</v>
      </c>
      <c r="AN38" s="3">
        <f t="shared" si="47"/>
        <v>359.97334418923424</v>
      </c>
      <c r="AO38" s="6">
        <f t="shared" si="48"/>
        <v>73.99093175206656</v>
      </c>
      <c r="AP38" s="10"/>
      <c r="AQ38" s="7"/>
      <c r="AR38" s="10"/>
      <c r="AS38" s="17"/>
      <c r="AT38" s="56" t="s">
        <v>82</v>
      </c>
    </row>
    <row r="39" spans="1:46" ht="15">
      <c r="A39" s="11" t="s">
        <v>45</v>
      </c>
      <c r="B39" s="13" t="s">
        <v>46</v>
      </c>
      <c r="C39" s="13">
        <v>2</v>
      </c>
      <c r="D39" s="14">
        <v>9</v>
      </c>
      <c r="E39" s="19" t="s">
        <v>47</v>
      </c>
      <c r="F39" s="13" t="s">
        <v>85</v>
      </c>
      <c r="G39" s="45">
        <f t="shared" si="29"/>
        <v>19.196</v>
      </c>
      <c r="H39" s="45">
        <f t="shared" si="29"/>
        <v>19.344800000000003</v>
      </c>
      <c r="I39" s="1">
        <f t="shared" si="30"/>
        <v>19.270400000000002</v>
      </c>
      <c r="J39" s="51">
        <v>80</v>
      </c>
      <c r="K39" s="51">
        <v>96</v>
      </c>
      <c r="L39" s="14">
        <f t="shared" si="26"/>
        <v>88</v>
      </c>
      <c r="M39" s="52">
        <v>270</v>
      </c>
      <c r="N39" s="53">
        <v>66</v>
      </c>
      <c r="O39" s="53">
        <v>0</v>
      </c>
      <c r="P39" s="53">
        <v>35</v>
      </c>
      <c r="Q39" s="16"/>
      <c r="R39" s="54"/>
      <c r="S39" s="2">
        <f t="shared" si="31"/>
        <v>-0.23329455426880485</v>
      </c>
      <c r="T39" s="2">
        <f t="shared" si="32"/>
        <v>0.7483326291788591</v>
      </c>
      <c r="U39" s="2">
        <f t="shared" si="33"/>
        <v>0.33317915266278375</v>
      </c>
      <c r="V39" s="3">
        <f t="shared" si="34"/>
        <v>107.31499715839148</v>
      </c>
      <c r="W39" s="4">
        <f t="shared" si="35"/>
        <v>23.028026459669896</v>
      </c>
      <c r="X39" s="5">
        <f t="shared" si="25"/>
        <v>287.31499715839146</v>
      </c>
      <c r="Y39" s="3">
        <f t="shared" si="36"/>
        <v>197.31499715839146</v>
      </c>
      <c r="Z39" s="6">
        <f t="shared" si="37"/>
        <v>66.97197354033011</v>
      </c>
      <c r="AA39" s="7">
        <f t="shared" si="38"/>
        <v>83.04701220085298</v>
      </c>
      <c r="AB39" s="8">
        <f t="shared" si="39"/>
        <v>83.04701220085298</v>
      </c>
      <c r="AC39" s="9">
        <f t="shared" si="40"/>
        <v>0.12105490079327785</v>
      </c>
      <c r="AD39" s="9">
        <f t="shared" si="41"/>
        <v>0.3883045297372933</v>
      </c>
      <c r="AE39" s="9">
        <f t="shared" si="42"/>
        <v>0.9135454576426009</v>
      </c>
      <c r="AF39" s="10">
        <f t="shared" si="43"/>
        <v>270</v>
      </c>
      <c r="AG39" s="8">
        <f t="shared" si="44"/>
        <v>66</v>
      </c>
      <c r="AH39" s="9">
        <f t="shared" si="45"/>
        <v>3.368593057892032E-05</v>
      </c>
      <c r="AI39" s="11"/>
      <c r="AJ39" s="16"/>
      <c r="AK39" s="77">
        <v>38</v>
      </c>
      <c r="AL39" s="78">
        <v>47</v>
      </c>
      <c r="AM39" s="5">
        <f t="shared" si="46"/>
        <v>249.31499715839146</v>
      </c>
      <c r="AN39" s="3">
        <f t="shared" si="47"/>
        <v>159.31499715839146</v>
      </c>
      <c r="AO39" s="6">
        <f t="shared" si="48"/>
        <v>66.97197354033011</v>
      </c>
      <c r="AP39" s="10"/>
      <c r="AQ39" s="7"/>
      <c r="AR39" s="10"/>
      <c r="AS39" s="17"/>
      <c r="AT39" s="56" t="s">
        <v>84</v>
      </c>
    </row>
    <row r="40" spans="1:46" ht="15">
      <c r="A40" s="11" t="s">
        <v>45</v>
      </c>
      <c r="B40" s="13" t="s">
        <v>46</v>
      </c>
      <c r="C40" s="13">
        <v>2</v>
      </c>
      <c r="D40" s="14">
        <v>10</v>
      </c>
      <c r="E40" s="19" t="s">
        <v>47</v>
      </c>
      <c r="F40" s="13" t="s">
        <v>85</v>
      </c>
      <c r="G40" s="45">
        <f>J40*0.93/100+19.516</f>
        <v>19.887999999999998</v>
      </c>
      <c r="H40" s="45">
        <f>K40*0.93/100+19.516</f>
        <v>19.925199999999997</v>
      </c>
      <c r="I40" s="1">
        <f t="shared" si="30"/>
        <v>19.906599999999997</v>
      </c>
      <c r="J40" s="51">
        <v>40</v>
      </c>
      <c r="K40" s="51">
        <v>44</v>
      </c>
      <c r="L40" s="14">
        <f t="shared" si="26"/>
        <v>42</v>
      </c>
      <c r="M40" s="52">
        <v>90</v>
      </c>
      <c r="N40" s="53">
        <v>72</v>
      </c>
      <c r="O40" s="53">
        <v>180</v>
      </c>
      <c r="P40" s="53">
        <v>0</v>
      </c>
      <c r="Q40" s="16"/>
      <c r="R40" s="54"/>
      <c r="S40" s="2">
        <f t="shared" si="31"/>
        <v>-1.1651854214697822E-16</v>
      </c>
      <c r="T40" s="2">
        <f t="shared" si="32"/>
        <v>-0.9510565162951535</v>
      </c>
      <c r="U40" s="2">
        <f t="shared" si="33"/>
        <v>0.30901699437494745</v>
      </c>
      <c r="V40" s="3">
        <f t="shared" si="34"/>
        <v>270</v>
      </c>
      <c r="W40" s="4">
        <f t="shared" si="35"/>
        <v>18.000000000000004</v>
      </c>
      <c r="X40" s="5">
        <f t="shared" si="25"/>
        <v>90</v>
      </c>
      <c r="Y40" s="3">
        <f t="shared" si="36"/>
        <v>0</v>
      </c>
      <c r="Z40" s="6">
        <f t="shared" si="37"/>
        <v>72</v>
      </c>
      <c r="AA40" s="7">
        <f t="shared" si="38"/>
        <v>90</v>
      </c>
      <c r="AB40" s="8">
        <f t="shared" si="39"/>
        <v>90</v>
      </c>
      <c r="AC40" s="9">
        <f t="shared" si="40"/>
        <v>6.1257422745431E-17</v>
      </c>
      <c r="AD40" s="9">
        <f t="shared" si="41"/>
        <v>0.30901699437494745</v>
      </c>
      <c r="AE40" s="9">
        <f t="shared" si="42"/>
        <v>0.9510565162951535</v>
      </c>
      <c r="AF40" s="10">
        <f t="shared" si="43"/>
        <v>89.99999999999999</v>
      </c>
      <c r="AG40" s="8">
        <f t="shared" si="44"/>
        <v>72</v>
      </c>
      <c r="AH40" s="9">
        <f t="shared" si="45"/>
        <v>1.774597388499257E-20</v>
      </c>
      <c r="AI40" s="11"/>
      <c r="AJ40" s="16"/>
      <c r="AK40" s="77">
        <v>38</v>
      </c>
      <c r="AL40" s="78">
        <v>47</v>
      </c>
      <c r="AM40" s="5">
        <f t="shared" si="46"/>
        <v>52</v>
      </c>
      <c r="AN40" s="3">
        <f t="shared" si="47"/>
        <v>322</v>
      </c>
      <c r="AO40" s="6">
        <f t="shared" si="48"/>
        <v>72</v>
      </c>
      <c r="AP40" s="10"/>
      <c r="AQ40" s="7"/>
      <c r="AR40" s="10"/>
      <c r="AS40" s="17"/>
      <c r="AT40" s="56" t="s">
        <v>83</v>
      </c>
    </row>
    <row r="41" spans="1:45" ht="15">
      <c r="A41" s="11" t="s">
        <v>45</v>
      </c>
      <c r="B41" s="13" t="s">
        <v>46</v>
      </c>
      <c r="C41" s="13">
        <v>3</v>
      </c>
      <c r="D41" s="14">
        <v>1</v>
      </c>
      <c r="E41" s="19" t="s">
        <v>48</v>
      </c>
      <c r="F41" s="13"/>
      <c r="G41" s="45">
        <f aca="true" t="shared" si="49" ref="G41:H43">J41*0.96/100+20.5</f>
        <v>20.9992</v>
      </c>
      <c r="H41" s="45">
        <f t="shared" si="49"/>
        <v>21.0376</v>
      </c>
      <c r="I41" s="1">
        <f t="shared" si="30"/>
        <v>21.0184</v>
      </c>
      <c r="J41" s="51">
        <v>52</v>
      </c>
      <c r="K41" s="51">
        <v>56</v>
      </c>
      <c r="L41" s="14">
        <f t="shared" si="26"/>
        <v>54</v>
      </c>
      <c r="M41" s="52">
        <v>0</v>
      </c>
      <c r="N41" s="53">
        <v>0</v>
      </c>
      <c r="O41" s="53">
        <v>90</v>
      </c>
      <c r="P41" s="53">
        <v>26</v>
      </c>
      <c r="Q41" s="16"/>
      <c r="R41" s="54"/>
      <c r="S41" s="2">
        <f t="shared" si="31"/>
        <v>0</v>
      </c>
      <c r="T41" s="2">
        <f t="shared" si="32"/>
        <v>-0.4383711467890774</v>
      </c>
      <c r="U41" s="2">
        <f t="shared" si="33"/>
        <v>0.898794046299167</v>
      </c>
      <c r="V41" s="3">
        <f t="shared" si="34"/>
        <v>270</v>
      </c>
      <c r="W41" s="4">
        <f t="shared" si="35"/>
        <v>64.00000000000001</v>
      </c>
      <c r="X41" s="5">
        <f t="shared" si="25"/>
        <v>90</v>
      </c>
      <c r="Y41" s="3">
        <f t="shared" si="36"/>
        <v>0</v>
      </c>
      <c r="Z41" s="6">
        <f t="shared" si="37"/>
        <v>25.999999999999986</v>
      </c>
      <c r="AA41" s="7">
        <f t="shared" si="38"/>
        <v>90</v>
      </c>
      <c r="AB41" s="8">
        <f t="shared" si="39"/>
        <v>90</v>
      </c>
      <c r="AC41" s="9">
        <f t="shared" si="40"/>
        <v>6.1257422745431E-17</v>
      </c>
      <c r="AD41" s="9">
        <f t="shared" si="41"/>
        <v>0.8987940462991671</v>
      </c>
      <c r="AE41" s="9">
        <f t="shared" si="42"/>
        <v>0.4383711467890771</v>
      </c>
      <c r="AF41" s="10">
        <f t="shared" si="43"/>
        <v>90</v>
      </c>
      <c r="AG41" s="8">
        <f t="shared" si="44"/>
        <v>25.999999999999986</v>
      </c>
      <c r="AH41" s="9">
        <f t="shared" si="45"/>
        <v>8.179960011010809E-21</v>
      </c>
      <c r="AI41" s="11"/>
      <c r="AJ41" s="16"/>
      <c r="AK41" s="77">
        <v>236</v>
      </c>
      <c r="AL41" s="78">
        <v>39</v>
      </c>
      <c r="AM41" s="5">
        <f t="shared" si="46"/>
        <v>214</v>
      </c>
      <c r="AN41" s="3">
        <f t="shared" si="47"/>
        <v>124</v>
      </c>
      <c r="AO41" s="6">
        <f t="shared" si="48"/>
        <v>25.999999999999986</v>
      </c>
      <c r="AP41" s="10"/>
      <c r="AQ41" s="7"/>
      <c r="AR41" s="10"/>
      <c r="AS41" s="17"/>
    </row>
    <row r="42" spans="1:46" ht="15">
      <c r="A42" s="11" t="s">
        <v>45</v>
      </c>
      <c r="B42" s="13" t="s">
        <v>46</v>
      </c>
      <c r="C42" s="13">
        <v>3</v>
      </c>
      <c r="D42" s="14">
        <v>1</v>
      </c>
      <c r="E42" s="19" t="s">
        <v>47</v>
      </c>
      <c r="F42" s="13" t="s">
        <v>54</v>
      </c>
      <c r="G42" s="45">
        <f t="shared" si="49"/>
        <v>21.0952</v>
      </c>
      <c r="H42" s="45">
        <f t="shared" si="49"/>
        <v>21.2584</v>
      </c>
      <c r="I42" s="1">
        <f t="shared" si="30"/>
        <v>21.1768</v>
      </c>
      <c r="J42" s="51">
        <v>62</v>
      </c>
      <c r="K42" s="51">
        <v>79</v>
      </c>
      <c r="L42" s="14">
        <f t="shared" si="26"/>
        <v>70.5</v>
      </c>
      <c r="M42" s="52">
        <v>196</v>
      </c>
      <c r="N42" s="53">
        <v>0</v>
      </c>
      <c r="O42" s="53">
        <v>270</v>
      </c>
      <c r="P42" s="53">
        <v>65</v>
      </c>
      <c r="Q42" s="16"/>
      <c r="R42" s="54"/>
      <c r="S42" s="2">
        <f t="shared" si="31"/>
        <v>-0.24981228197513802</v>
      </c>
      <c r="T42" s="2">
        <f t="shared" si="32"/>
        <v>0.8711989604089548</v>
      </c>
      <c r="U42" s="2">
        <f t="shared" si="33"/>
        <v>0.4062467470153691</v>
      </c>
      <c r="V42" s="3">
        <f t="shared" si="34"/>
        <v>105.99999999999999</v>
      </c>
      <c r="W42" s="4">
        <f t="shared" si="35"/>
        <v>24.144007070215117</v>
      </c>
      <c r="X42" s="5">
        <f t="shared" si="25"/>
        <v>286</v>
      </c>
      <c r="Y42" s="3">
        <f t="shared" si="36"/>
        <v>196</v>
      </c>
      <c r="Z42" s="6">
        <f t="shared" si="37"/>
        <v>65.85599292978489</v>
      </c>
      <c r="AA42" s="7">
        <f t="shared" si="38"/>
        <v>83.31046232520593</v>
      </c>
      <c r="AB42" s="8">
        <f t="shared" si="39"/>
        <v>83.31046232520593</v>
      </c>
      <c r="AC42" s="9">
        <f t="shared" si="40"/>
        <v>0.11648938018618288</v>
      </c>
      <c r="AD42" s="9">
        <f t="shared" si="41"/>
        <v>0.40624674701536917</v>
      </c>
      <c r="AE42" s="9">
        <f t="shared" si="42"/>
        <v>0.9063077870366498</v>
      </c>
      <c r="AF42" s="10">
        <f t="shared" si="43"/>
        <v>270</v>
      </c>
      <c r="AG42" s="8">
        <f t="shared" si="44"/>
        <v>65</v>
      </c>
      <c r="AH42" s="9">
        <f t="shared" si="45"/>
        <v>3.215869160699408E-05</v>
      </c>
      <c r="AI42" s="11"/>
      <c r="AJ42" s="16"/>
      <c r="AK42" s="77">
        <v>236</v>
      </c>
      <c r="AL42" s="78">
        <v>39</v>
      </c>
      <c r="AM42" s="5">
        <f t="shared" si="46"/>
        <v>50</v>
      </c>
      <c r="AN42" s="3">
        <f t="shared" si="47"/>
        <v>320</v>
      </c>
      <c r="AO42" s="6">
        <f t="shared" si="48"/>
        <v>65.85599292978489</v>
      </c>
      <c r="AP42" s="10"/>
      <c r="AQ42" s="7"/>
      <c r="AR42" s="10"/>
      <c r="AS42" s="17"/>
      <c r="AT42" s="18" t="s">
        <v>77</v>
      </c>
    </row>
    <row r="43" spans="1:45" ht="15">
      <c r="A43" s="11" t="s">
        <v>45</v>
      </c>
      <c r="B43" s="13" t="s">
        <v>46</v>
      </c>
      <c r="C43" s="13">
        <v>3</v>
      </c>
      <c r="D43" s="14">
        <v>1</v>
      </c>
      <c r="E43" s="19" t="s">
        <v>48</v>
      </c>
      <c r="F43" s="13"/>
      <c r="G43" s="45">
        <f t="shared" si="49"/>
        <v>21.4696</v>
      </c>
      <c r="H43" s="45">
        <f t="shared" si="49"/>
        <v>21.4984</v>
      </c>
      <c r="I43" s="1">
        <f t="shared" si="30"/>
        <v>21.484</v>
      </c>
      <c r="J43" s="51">
        <v>101</v>
      </c>
      <c r="K43" s="51">
        <v>104</v>
      </c>
      <c r="L43" s="14">
        <f t="shared" si="26"/>
        <v>102.5</v>
      </c>
      <c r="M43" s="52">
        <v>0</v>
      </c>
      <c r="N43" s="53">
        <v>11</v>
      </c>
      <c r="O43" s="53">
        <v>90</v>
      </c>
      <c r="P43" s="53">
        <v>23</v>
      </c>
      <c r="Q43" s="16"/>
      <c r="R43" s="54"/>
      <c r="S43" s="2">
        <f t="shared" si="31"/>
        <v>-0.17564060632649375</v>
      </c>
      <c r="T43" s="2">
        <f t="shared" si="32"/>
        <v>-0.38355229714425304</v>
      </c>
      <c r="U43" s="2">
        <f t="shared" si="33"/>
        <v>0.9035925866444238</v>
      </c>
      <c r="V43" s="3">
        <f t="shared" si="34"/>
        <v>245.3954735273333</v>
      </c>
      <c r="W43" s="4">
        <f t="shared" si="35"/>
        <v>64.97379359345422</v>
      </c>
      <c r="X43" s="5">
        <f t="shared" si="25"/>
        <v>65.39547352733331</v>
      </c>
      <c r="Y43" s="3">
        <f t="shared" si="36"/>
        <v>335.3954735273333</v>
      </c>
      <c r="Z43" s="6">
        <f t="shared" si="37"/>
        <v>25.026206406545782</v>
      </c>
      <c r="AA43" s="7">
        <f t="shared" si="38"/>
        <v>112.5354269529973</v>
      </c>
      <c r="AB43" s="8">
        <f t="shared" si="39"/>
        <v>112.5354269529973</v>
      </c>
      <c r="AC43" s="9">
        <f t="shared" si="40"/>
        <v>-0.3832546095723697</v>
      </c>
      <c r="AD43" s="9">
        <f t="shared" si="41"/>
        <v>0.8369259761000547</v>
      </c>
      <c r="AE43" s="9">
        <f t="shared" si="42"/>
        <v>0.39073112848927355</v>
      </c>
      <c r="AF43" s="10">
        <f t="shared" si="43"/>
        <v>90</v>
      </c>
      <c r="AG43" s="8">
        <f t="shared" si="44"/>
        <v>22.99999999999999</v>
      </c>
      <c r="AH43" s="9">
        <f t="shared" si="45"/>
        <v>-4.561561442048718E-05</v>
      </c>
      <c r="AI43" s="11"/>
      <c r="AJ43" s="16"/>
      <c r="AK43" s="77">
        <v>236</v>
      </c>
      <c r="AL43" s="78">
        <v>39</v>
      </c>
      <c r="AM43" s="5">
        <f t="shared" si="46"/>
        <v>189.3954735273333</v>
      </c>
      <c r="AN43" s="3">
        <f t="shared" si="47"/>
        <v>99.39547352733331</v>
      </c>
      <c r="AO43" s="6">
        <f t="shared" si="48"/>
        <v>25.026206406545782</v>
      </c>
      <c r="AP43" s="10"/>
      <c r="AQ43" s="7"/>
      <c r="AR43" s="10"/>
      <c r="AS43" s="17"/>
    </row>
    <row r="44" spans="1:45" ht="15">
      <c r="A44" s="11" t="s">
        <v>45</v>
      </c>
      <c r="B44" s="13" t="s">
        <v>46</v>
      </c>
      <c r="C44" s="13">
        <v>3</v>
      </c>
      <c r="D44" s="14">
        <v>3</v>
      </c>
      <c r="E44" s="19" t="s">
        <v>48</v>
      </c>
      <c r="F44" s="13"/>
      <c r="G44" s="45">
        <f>J44*0.96/100+22.015</f>
        <v>22.293400000000002</v>
      </c>
      <c r="H44" s="45">
        <f>K44*0.96/100+22.015</f>
        <v>22.3318</v>
      </c>
      <c r="I44" s="1">
        <f t="shared" si="30"/>
        <v>22.312600000000003</v>
      </c>
      <c r="J44" s="51">
        <v>29</v>
      </c>
      <c r="K44" s="51">
        <v>33</v>
      </c>
      <c r="L44" s="14">
        <f t="shared" si="26"/>
        <v>31</v>
      </c>
      <c r="M44" s="52">
        <v>0</v>
      </c>
      <c r="N44" s="53">
        <v>0</v>
      </c>
      <c r="O44" s="53">
        <v>90</v>
      </c>
      <c r="P44" s="53">
        <v>20</v>
      </c>
      <c r="Q44" s="16"/>
      <c r="R44" s="54"/>
      <c r="S44" s="2">
        <f t="shared" si="31"/>
        <v>0</v>
      </c>
      <c r="T44" s="2">
        <f t="shared" si="32"/>
        <v>-0.3420201433256687</v>
      </c>
      <c r="U44" s="2">
        <f t="shared" si="33"/>
        <v>0.9396926207859084</v>
      </c>
      <c r="V44" s="3">
        <f t="shared" si="34"/>
        <v>270</v>
      </c>
      <c r="W44" s="4">
        <f t="shared" si="35"/>
        <v>70</v>
      </c>
      <c r="X44" s="5">
        <f t="shared" si="25"/>
        <v>90</v>
      </c>
      <c r="Y44" s="3">
        <f t="shared" si="36"/>
        <v>0</v>
      </c>
      <c r="Z44" s="6">
        <f t="shared" si="37"/>
        <v>20</v>
      </c>
      <c r="AA44" s="7">
        <f t="shared" si="38"/>
        <v>90</v>
      </c>
      <c r="AB44" s="8">
        <f t="shared" si="39"/>
        <v>90</v>
      </c>
      <c r="AC44" s="9">
        <f t="shared" si="40"/>
        <v>6.1257422745431E-17</v>
      </c>
      <c r="AD44" s="9">
        <f t="shared" si="41"/>
        <v>0.9396926207859084</v>
      </c>
      <c r="AE44" s="9">
        <f t="shared" si="42"/>
        <v>0.3420201433256687</v>
      </c>
      <c r="AF44" s="10">
        <f t="shared" si="43"/>
        <v>90</v>
      </c>
      <c r="AG44" s="8">
        <f t="shared" si="44"/>
        <v>20</v>
      </c>
      <c r="AH44" s="9">
        <f t="shared" si="45"/>
        <v>6.3820846695836175E-21</v>
      </c>
      <c r="AI44" s="11"/>
      <c r="AJ44" s="16"/>
      <c r="AK44" s="77">
        <v>236</v>
      </c>
      <c r="AL44" s="78">
        <v>39</v>
      </c>
      <c r="AM44" s="5">
        <f t="shared" si="46"/>
        <v>214</v>
      </c>
      <c r="AN44" s="3">
        <f t="shared" si="47"/>
        <v>124</v>
      </c>
      <c r="AO44" s="6">
        <f t="shared" si="48"/>
        <v>20</v>
      </c>
      <c r="AP44" s="10"/>
      <c r="AQ44" s="7"/>
      <c r="AR44" s="10"/>
      <c r="AS44" s="17"/>
    </row>
    <row r="45" spans="1:45" ht="15">
      <c r="A45" s="11" t="s">
        <v>45</v>
      </c>
      <c r="B45" s="13" t="s">
        <v>46</v>
      </c>
      <c r="C45" s="13">
        <v>3</v>
      </c>
      <c r="D45" s="14">
        <v>3</v>
      </c>
      <c r="E45" s="19" t="s">
        <v>47</v>
      </c>
      <c r="F45" s="13" t="s">
        <v>54</v>
      </c>
      <c r="G45" s="45">
        <f>J45*0.96/100+22.015</f>
        <v>22.677400000000002</v>
      </c>
      <c r="H45" s="45">
        <f>K45*0.96/100+22.015</f>
        <v>22.7542</v>
      </c>
      <c r="I45" s="1">
        <f t="shared" si="30"/>
        <v>22.7158</v>
      </c>
      <c r="J45" s="51">
        <v>69</v>
      </c>
      <c r="K45" s="51">
        <v>77</v>
      </c>
      <c r="L45" s="14">
        <f t="shared" si="26"/>
        <v>73</v>
      </c>
      <c r="M45" s="52">
        <v>180</v>
      </c>
      <c r="N45" s="53">
        <v>43</v>
      </c>
      <c r="O45" s="53">
        <v>90</v>
      </c>
      <c r="P45" s="53">
        <v>43</v>
      </c>
      <c r="Q45" s="16"/>
      <c r="R45" s="54"/>
      <c r="S45" s="2">
        <f t="shared" si="31"/>
        <v>-0.4987820251299121</v>
      </c>
      <c r="T45" s="2">
        <f t="shared" si="32"/>
        <v>0.4987820251299122</v>
      </c>
      <c r="U45" s="2">
        <f t="shared" si="33"/>
        <v>-0.5348782368720628</v>
      </c>
      <c r="V45" s="3">
        <f t="shared" si="34"/>
        <v>135</v>
      </c>
      <c r="W45" s="4">
        <f t="shared" si="35"/>
        <v>-37.17228511139536</v>
      </c>
      <c r="X45" s="5">
        <f t="shared" si="25"/>
        <v>135</v>
      </c>
      <c r="Y45" s="3">
        <f t="shared" si="36"/>
        <v>45</v>
      </c>
      <c r="Z45" s="6">
        <f t="shared" si="37"/>
        <v>52.82771488860464</v>
      </c>
      <c r="AA45" s="7">
        <f t="shared" si="38"/>
        <v>58.85905131672939</v>
      </c>
      <c r="AB45" s="8">
        <f t="shared" si="39"/>
        <v>58.85905131672939</v>
      </c>
      <c r="AC45" s="9">
        <f t="shared" si="40"/>
        <v>0.5171451618607986</v>
      </c>
      <c r="AD45" s="9">
        <f t="shared" si="41"/>
        <v>0.5171451618607984</v>
      </c>
      <c r="AE45" s="9">
        <f t="shared" si="42"/>
        <v>0.6819983600624984</v>
      </c>
      <c r="AF45" s="10">
        <f t="shared" si="43"/>
        <v>89.99999999999999</v>
      </c>
      <c r="AG45" s="8">
        <f t="shared" si="44"/>
        <v>42.99999999999999</v>
      </c>
      <c r="AH45" s="9">
        <f t="shared" si="45"/>
        <v>0.00010743217772724485</v>
      </c>
      <c r="AI45" s="11"/>
      <c r="AJ45" s="16"/>
      <c r="AK45" s="77">
        <v>236</v>
      </c>
      <c r="AL45" s="78">
        <v>39</v>
      </c>
      <c r="AM45" s="5">
        <f t="shared" si="46"/>
        <v>259</v>
      </c>
      <c r="AN45" s="3">
        <f t="shared" si="47"/>
        <v>169</v>
      </c>
      <c r="AO45" s="6">
        <f t="shared" si="48"/>
        <v>52.82771488860464</v>
      </c>
      <c r="AP45" s="10"/>
      <c r="AQ45" s="7"/>
      <c r="AR45" s="10"/>
      <c r="AS45" s="17"/>
    </row>
    <row r="46" spans="1:46" ht="15">
      <c r="A46" s="11" t="s">
        <v>45</v>
      </c>
      <c r="B46" s="13" t="s">
        <v>46</v>
      </c>
      <c r="C46" s="13">
        <v>3</v>
      </c>
      <c r="D46" s="14">
        <v>4</v>
      </c>
      <c r="E46" s="19" t="s">
        <v>48</v>
      </c>
      <c r="F46" s="13"/>
      <c r="G46" s="45">
        <f aca="true" t="shared" si="50" ref="G46:H48">J46*0.96/100+23.405</f>
        <v>23.6258</v>
      </c>
      <c r="H46" s="45">
        <f t="shared" si="50"/>
        <v>23.654600000000002</v>
      </c>
      <c r="I46" s="1">
        <f t="shared" si="30"/>
        <v>23.6402</v>
      </c>
      <c r="J46" s="51">
        <v>23</v>
      </c>
      <c r="K46" s="51">
        <v>26</v>
      </c>
      <c r="L46" s="14">
        <f t="shared" si="26"/>
        <v>24.5</v>
      </c>
      <c r="M46" s="52">
        <v>0</v>
      </c>
      <c r="N46" s="53">
        <v>0</v>
      </c>
      <c r="O46" s="53">
        <v>90</v>
      </c>
      <c r="P46" s="53">
        <v>14</v>
      </c>
      <c r="Q46" s="16"/>
      <c r="R46" s="54"/>
      <c r="S46" s="2">
        <f t="shared" si="31"/>
        <v>0</v>
      </c>
      <c r="T46" s="2">
        <f t="shared" si="32"/>
        <v>-0.24192189559966773</v>
      </c>
      <c r="U46" s="2">
        <f t="shared" si="33"/>
        <v>0.9702957262759965</v>
      </c>
      <c r="V46" s="3">
        <f t="shared" si="34"/>
        <v>270</v>
      </c>
      <c r="W46" s="4">
        <f t="shared" si="35"/>
        <v>76</v>
      </c>
      <c r="X46" s="5">
        <f t="shared" si="25"/>
        <v>90</v>
      </c>
      <c r="Y46" s="3">
        <f t="shared" si="36"/>
        <v>0</v>
      </c>
      <c r="Z46" s="6">
        <f t="shared" si="37"/>
        <v>14</v>
      </c>
      <c r="AA46" s="7">
        <f t="shared" si="38"/>
        <v>90</v>
      </c>
      <c r="AB46" s="8">
        <f t="shared" si="39"/>
        <v>90</v>
      </c>
      <c r="AC46" s="9">
        <f t="shared" si="40"/>
        <v>6.1257422745431E-17</v>
      </c>
      <c r="AD46" s="9">
        <f t="shared" si="41"/>
        <v>0.9702957262759965</v>
      </c>
      <c r="AE46" s="9">
        <f t="shared" si="42"/>
        <v>0.24192189559966773</v>
      </c>
      <c r="AF46" s="10">
        <f t="shared" si="43"/>
        <v>90</v>
      </c>
      <c r="AG46" s="8">
        <f t="shared" si="44"/>
        <v>14</v>
      </c>
      <c r="AH46" s="9">
        <f t="shared" si="45"/>
        <v>4.51426804269215E-21</v>
      </c>
      <c r="AI46" s="11"/>
      <c r="AJ46" s="16"/>
      <c r="AK46" s="77">
        <v>236</v>
      </c>
      <c r="AL46" s="78">
        <v>39</v>
      </c>
      <c r="AM46" s="5">
        <f t="shared" si="46"/>
        <v>214</v>
      </c>
      <c r="AN46" s="3">
        <f t="shared" si="47"/>
        <v>124</v>
      </c>
      <c r="AO46" s="6">
        <f t="shared" si="48"/>
        <v>14</v>
      </c>
      <c r="AP46" s="10"/>
      <c r="AQ46" s="7"/>
      <c r="AR46" s="10"/>
      <c r="AS46" s="17"/>
      <c r="AT46" s="18" t="s">
        <v>78</v>
      </c>
    </row>
    <row r="47" spans="1:46" ht="15">
      <c r="A47" s="11" t="s">
        <v>45</v>
      </c>
      <c r="B47" s="13" t="s">
        <v>46</v>
      </c>
      <c r="C47" s="13">
        <v>3</v>
      </c>
      <c r="D47" s="14">
        <v>4</v>
      </c>
      <c r="E47" s="19" t="s">
        <v>47</v>
      </c>
      <c r="F47" s="13" t="s">
        <v>54</v>
      </c>
      <c r="G47" s="45">
        <f t="shared" si="50"/>
        <v>23.7314</v>
      </c>
      <c r="H47" s="45">
        <f t="shared" si="50"/>
        <v>24.4706</v>
      </c>
      <c r="I47" s="1">
        <f t="shared" si="30"/>
        <v>24.101</v>
      </c>
      <c r="J47" s="51">
        <v>34</v>
      </c>
      <c r="K47" s="51">
        <v>111</v>
      </c>
      <c r="L47" s="14">
        <f t="shared" si="26"/>
        <v>72.5</v>
      </c>
      <c r="M47" s="52">
        <v>180</v>
      </c>
      <c r="N47" s="53">
        <v>62</v>
      </c>
      <c r="O47" s="53">
        <v>236</v>
      </c>
      <c r="P47" s="53">
        <v>0</v>
      </c>
      <c r="Q47" s="16"/>
      <c r="R47" s="54"/>
      <c r="S47" s="2">
        <f t="shared" si="31"/>
        <v>0.7319967290770818</v>
      </c>
      <c r="T47" s="2">
        <f t="shared" si="32"/>
        <v>-0.49373802806329053</v>
      </c>
      <c r="U47" s="2">
        <f t="shared" si="33"/>
        <v>0.38920956479563673</v>
      </c>
      <c r="V47" s="3">
        <f t="shared" si="34"/>
        <v>326</v>
      </c>
      <c r="W47" s="4">
        <f t="shared" si="35"/>
        <v>23.788225611710136</v>
      </c>
      <c r="X47" s="5">
        <f aca="true" t="shared" si="51" ref="X47:X78">IF(U47&lt;0,V47,IF(V47+180&gt;=360,V47-180,V47+180))</f>
        <v>146</v>
      </c>
      <c r="Y47" s="3">
        <f t="shared" si="36"/>
        <v>56</v>
      </c>
      <c r="Z47" s="6">
        <f t="shared" si="37"/>
        <v>66.21177438828987</v>
      </c>
      <c r="AA47" s="7">
        <f t="shared" si="38"/>
        <v>59.1205031826966</v>
      </c>
      <c r="AB47" s="8">
        <f t="shared" si="39"/>
        <v>59.1205031826966</v>
      </c>
      <c r="AC47" s="9">
        <f t="shared" si="40"/>
        <v>0.5132341623347415</v>
      </c>
      <c r="AD47" s="9">
        <f t="shared" si="41"/>
        <v>0.34618081362927206</v>
      </c>
      <c r="AE47" s="9">
        <f t="shared" si="42"/>
        <v>0.78533403013465</v>
      </c>
      <c r="AF47" s="10">
        <f t="shared" si="43"/>
        <v>90.00000000000003</v>
      </c>
      <c r="AG47" s="8">
        <f t="shared" si="44"/>
        <v>51.75158252595722</v>
      </c>
      <c r="AH47" s="9">
        <f t="shared" si="45"/>
        <v>0.00012277368799226956</v>
      </c>
      <c r="AI47" s="11"/>
      <c r="AJ47" s="16"/>
      <c r="AK47" s="77">
        <v>236</v>
      </c>
      <c r="AL47" s="78">
        <v>39</v>
      </c>
      <c r="AM47" s="5">
        <f t="shared" si="46"/>
        <v>270</v>
      </c>
      <c r="AN47" s="3">
        <f t="shared" si="47"/>
        <v>180</v>
      </c>
      <c r="AO47" s="6">
        <f t="shared" si="48"/>
        <v>66.21177438828987</v>
      </c>
      <c r="AP47" s="10"/>
      <c r="AQ47" s="7"/>
      <c r="AR47" s="10"/>
      <c r="AS47" s="17"/>
      <c r="AT47" s="18" t="s">
        <v>79</v>
      </c>
    </row>
    <row r="48" spans="1:46" ht="15">
      <c r="A48" s="11" t="s">
        <v>45</v>
      </c>
      <c r="B48" s="13" t="s">
        <v>46</v>
      </c>
      <c r="C48" s="13">
        <v>3</v>
      </c>
      <c r="D48" s="14">
        <v>4</v>
      </c>
      <c r="E48" s="19" t="s">
        <v>47</v>
      </c>
      <c r="F48" s="13" t="s">
        <v>54</v>
      </c>
      <c r="G48" s="45">
        <f t="shared" si="50"/>
        <v>24.2498</v>
      </c>
      <c r="H48" s="45">
        <f t="shared" si="50"/>
        <v>24.3746</v>
      </c>
      <c r="I48" s="1">
        <f t="shared" si="30"/>
        <v>24.3122</v>
      </c>
      <c r="J48" s="51">
        <v>88</v>
      </c>
      <c r="K48" s="51">
        <v>101</v>
      </c>
      <c r="L48" s="14">
        <f aca="true" t="shared" si="52" ref="L48:L79">(+J48+K48)/2</f>
        <v>94.5</v>
      </c>
      <c r="M48" s="52">
        <v>180</v>
      </c>
      <c r="N48" s="53">
        <v>62</v>
      </c>
      <c r="O48" s="53">
        <v>270</v>
      </c>
      <c r="P48" s="53">
        <v>60</v>
      </c>
      <c r="Q48" s="16"/>
      <c r="R48" s="54"/>
      <c r="S48" s="2">
        <f t="shared" si="31"/>
        <v>0.4414737964294636</v>
      </c>
      <c r="T48" s="2">
        <f t="shared" si="32"/>
        <v>0.4065742997269625</v>
      </c>
      <c r="U48" s="2">
        <f t="shared" si="33"/>
        <v>0.2347357813929455</v>
      </c>
      <c r="V48" s="3">
        <f t="shared" si="34"/>
        <v>42.64345180359384</v>
      </c>
      <c r="W48" s="4">
        <f t="shared" si="35"/>
        <v>21.361298412964366</v>
      </c>
      <c r="X48" s="5">
        <f t="shared" si="51"/>
        <v>222.64345180359385</v>
      </c>
      <c r="Y48" s="3">
        <f t="shared" si="36"/>
        <v>132.64345180359385</v>
      </c>
      <c r="Z48" s="6">
        <f t="shared" si="37"/>
        <v>68.63870158703563</v>
      </c>
      <c r="AA48" s="7">
        <f t="shared" si="38"/>
        <v>111.57949458224734</v>
      </c>
      <c r="AB48" s="8">
        <f t="shared" si="39"/>
        <v>111.57949458224734</v>
      </c>
      <c r="AC48" s="9">
        <f t="shared" si="40"/>
        <v>-0.36779177414883246</v>
      </c>
      <c r="AD48" s="9">
        <f t="shared" si="41"/>
        <v>0.3387170070552325</v>
      </c>
      <c r="AE48" s="9">
        <f t="shared" si="42"/>
        <v>0.8660254037844385</v>
      </c>
      <c r="AF48" s="10">
        <f t="shared" si="43"/>
        <v>270</v>
      </c>
      <c r="AG48" s="8">
        <f t="shared" si="44"/>
        <v>59.999999999999986</v>
      </c>
      <c r="AH48" s="9">
        <f t="shared" si="45"/>
        <v>-9.702147196461673E-05</v>
      </c>
      <c r="AI48" s="11"/>
      <c r="AJ48" s="16"/>
      <c r="AK48" s="77">
        <v>236</v>
      </c>
      <c r="AL48" s="78">
        <v>39</v>
      </c>
      <c r="AM48" s="5">
        <f t="shared" si="46"/>
        <v>346.64345180359385</v>
      </c>
      <c r="AN48" s="3">
        <f t="shared" si="47"/>
        <v>256.64345180359385</v>
      </c>
      <c r="AO48" s="6">
        <f t="shared" si="48"/>
        <v>68.63870158703563</v>
      </c>
      <c r="AP48" s="10"/>
      <c r="AQ48" s="7"/>
      <c r="AR48" s="10"/>
      <c r="AS48" s="17"/>
      <c r="AT48" s="18" t="s">
        <v>80</v>
      </c>
    </row>
    <row r="49" spans="1:46" ht="15">
      <c r="A49" s="11" t="s">
        <v>45</v>
      </c>
      <c r="B49" s="13" t="s">
        <v>46</v>
      </c>
      <c r="C49" s="13">
        <v>3</v>
      </c>
      <c r="D49" s="14">
        <v>5</v>
      </c>
      <c r="E49" s="19" t="s">
        <v>47</v>
      </c>
      <c r="F49" s="13" t="s">
        <v>54</v>
      </c>
      <c r="G49" s="45">
        <f>J49*0.96/100+24.789</f>
        <v>25.0482</v>
      </c>
      <c r="H49" s="45">
        <f>K49*0.96/100+24.789</f>
        <v>25.1442</v>
      </c>
      <c r="I49" s="1">
        <f t="shared" si="30"/>
        <v>25.096200000000003</v>
      </c>
      <c r="J49" s="51">
        <v>27</v>
      </c>
      <c r="K49" s="51">
        <v>37</v>
      </c>
      <c r="L49" s="14">
        <f t="shared" si="52"/>
        <v>32</v>
      </c>
      <c r="M49" s="52">
        <v>180</v>
      </c>
      <c r="N49" s="53">
        <v>59</v>
      </c>
      <c r="O49" s="53">
        <v>90</v>
      </c>
      <c r="P49" s="53">
        <v>62</v>
      </c>
      <c r="Q49" s="16"/>
      <c r="R49" s="54"/>
      <c r="S49" s="2">
        <f t="shared" si="31"/>
        <v>-0.4024156722295842</v>
      </c>
      <c r="T49" s="2">
        <f t="shared" si="32"/>
        <v>0.4547516284725282</v>
      </c>
      <c r="U49" s="2">
        <f t="shared" si="33"/>
        <v>-0.24179572992225995</v>
      </c>
      <c r="V49" s="3">
        <f t="shared" si="34"/>
        <v>131.50603624183302</v>
      </c>
      <c r="W49" s="4">
        <f t="shared" si="35"/>
        <v>-21.711937744161144</v>
      </c>
      <c r="X49" s="5">
        <f t="shared" si="51"/>
        <v>131.50603624183302</v>
      </c>
      <c r="Y49" s="3">
        <f t="shared" si="36"/>
        <v>41.506036241833016</v>
      </c>
      <c r="Z49" s="6">
        <f t="shared" si="37"/>
        <v>68.28806225583885</v>
      </c>
      <c r="AA49" s="7">
        <f t="shared" si="38"/>
        <v>71.87336196720311</v>
      </c>
      <c r="AB49" s="8">
        <f t="shared" si="39"/>
        <v>71.87336196720311</v>
      </c>
      <c r="AC49" s="9">
        <f t="shared" si="40"/>
        <v>0.31111831112245525</v>
      </c>
      <c r="AD49" s="9">
        <f t="shared" si="41"/>
        <v>0.3515806376195054</v>
      </c>
      <c r="AE49" s="9">
        <f t="shared" si="42"/>
        <v>0.8829475928589268</v>
      </c>
      <c r="AF49" s="10">
        <f t="shared" si="43"/>
        <v>89.99999999999997</v>
      </c>
      <c r="AG49" s="8">
        <f t="shared" si="44"/>
        <v>61.999999999999986</v>
      </c>
      <c r="AH49" s="9">
        <f t="shared" si="45"/>
        <v>8.367503661331785E-05</v>
      </c>
      <c r="AI49" s="11"/>
      <c r="AJ49" s="16"/>
      <c r="AK49" s="77">
        <v>236</v>
      </c>
      <c r="AL49" s="78">
        <v>39</v>
      </c>
      <c r="AM49" s="5">
        <f t="shared" si="46"/>
        <v>255.50603624183302</v>
      </c>
      <c r="AN49" s="3">
        <f t="shared" si="47"/>
        <v>165.50603624183302</v>
      </c>
      <c r="AO49" s="6">
        <f t="shared" si="48"/>
        <v>68.28806225583885</v>
      </c>
      <c r="AP49" s="10"/>
      <c r="AQ49" s="7"/>
      <c r="AR49" s="10"/>
      <c r="AS49" s="17"/>
      <c r="AT49" s="18" t="s">
        <v>76</v>
      </c>
    </row>
    <row r="50" spans="1:45" ht="15">
      <c r="A50" s="11" t="s">
        <v>45</v>
      </c>
      <c r="B50" s="13" t="s">
        <v>46</v>
      </c>
      <c r="C50" s="13">
        <v>3</v>
      </c>
      <c r="D50" s="14">
        <v>5</v>
      </c>
      <c r="E50" s="19" t="s">
        <v>48</v>
      </c>
      <c r="F50" s="13"/>
      <c r="G50" s="45">
        <f>J50*0.96/100+24.789</f>
        <v>25.873800000000003</v>
      </c>
      <c r="H50" s="45">
        <f>K50*0.96/100+24.789</f>
        <v>25.893</v>
      </c>
      <c r="I50" s="1">
        <f t="shared" si="30"/>
        <v>25.8834</v>
      </c>
      <c r="J50" s="51">
        <v>113</v>
      </c>
      <c r="K50" s="51">
        <v>115</v>
      </c>
      <c r="L50" s="14">
        <f t="shared" si="52"/>
        <v>114</v>
      </c>
      <c r="M50" s="52">
        <v>180</v>
      </c>
      <c r="N50" s="53">
        <v>3</v>
      </c>
      <c r="O50" s="53">
        <v>90</v>
      </c>
      <c r="P50" s="53">
        <v>12</v>
      </c>
      <c r="Q50" s="16"/>
      <c r="R50" s="54"/>
      <c r="S50" s="2">
        <f t="shared" si="31"/>
        <v>-0.051192290031144914</v>
      </c>
      <c r="T50" s="2">
        <f t="shared" si="32"/>
        <v>0.2076267550713758</v>
      </c>
      <c r="U50" s="2">
        <f t="shared" si="33"/>
        <v>-0.976807083442103</v>
      </c>
      <c r="V50" s="3">
        <f t="shared" si="34"/>
        <v>103.85054801050352</v>
      </c>
      <c r="W50" s="4">
        <f t="shared" si="35"/>
        <v>-77.65150508042849</v>
      </c>
      <c r="X50" s="5">
        <f t="shared" si="51"/>
        <v>103.85054801050352</v>
      </c>
      <c r="Y50" s="3">
        <f t="shared" si="36"/>
        <v>13.850548010503516</v>
      </c>
      <c r="Z50" s="6">
        <f t="shared" si="37"/>
        <v>12.348494919571507</v>
      </c>
      <c r="AA50" s="7">
        <f t="shared" si="38"/>
        <v>76.45795323159699</v>
      </c>
      <c r="AB50" s="8">
        <f t="shared" si="39"/>
        <v>76.45795323159699</v>
      </c>
      <c r="AC50" s="9">
        <f t="shared" si="40"/>
        <v>0.2341588790206006</v>
      </c>
      <c r="AD50" s="9">
        <f t="shared" si="41"/>
        <v>0.9497064536987817</v>
      </c>
      <c r="AE50" s="9">
        <f t="shared" si="42"/>
        <v>0.20791169081775918</v>
      </c>
      <c r="AF50" s="10">
        <f t="shared" si="43"/>
        <v>90</v>
      </c>
      <c r="AG50" s="8">
        <f t="shared" si="44"/>
        <v>11.999999999999991</v>
      </c>
      <c r="AH50" s="9">
        <f t="shared" si="45"/>
        <v>1.4830032874128487E-05</v>
      </c>
      <c r="AI50" s="11"/>
      <c r="AJ50" s="16"/>
      <c r="AK50" s="77">
        <v>236</v>
      </c>
      <c r="AL50" s="78">
        <v>39</v>
      </c>
      <c r="AM50" s="5">
        <f t="shared" si="46"/>
        <v>227.85054801050353</v>
      </c>
      <c r="AN50" s="3">
        <f t="shared" si="47"/>
        <v>137.85054801050353</v>
      </c>
      <c r="AO50" s="6">
        <f t="shared" si="48"/>
        <v>12.348494919571507</v>
      </c>
      <c r="AP50" s="10"/>
      <c r="AQ50" s="7"/>
      <c r="AR50" s="10"/>
      <c r="AS50" s="17"/>
    </row>
    <row r="51" spans="1:46" ht="15">
      <c r="A51" s="11" t="s">
        <v>45</v>
      </c>
      <c r="B51" s="13" t="s">
        <v>46</v>
      </c>
      <c r="C51" s="13">
        <v>3</v>
      </c>
      <c r="D51" s="14">
        <v>6</v>
      </c>
      <c r="E51" s="19" t="s">
        <v>47</v>
      </c>
      <c r="F51" s="13" t="s">
        <v>71</v>
      </c>
      <c r="G51" s="45">
        <f aca="true" t="shared" si="53" ref="G51:H56">J51*0.96/100+26.179</f>
        <v>26.543799999999997</v>
      </c>
      <c r="H51" s="45">
        <f t="shared" si="53"/>
        <v>26.6302</v>
      </c>
      <c r="I51" s="1">
        <f t="shared" si="30"/>
        <v>26.586999999999996</v>
      </c>
      <c r="J51" s="51">
        <v>38</v>
      </c>
      <c r="K51" s="51">
        <v>47</v>
      </c>
      <c r="L51" s="14">
        <f t="shared" si="52"/>
        <v>42.5</v>
      </c>
      <c r="M51" s="52">
        <v>180</v>
      </c>
      <c r="N51" s="53">
        <v>48</v>
      </c>
      <c r="O51" s="53">
        <v>90</v>
      </c>
      <c r="P51" s="53">
        <v>39</v>
      </c>
      <c r="Q51" s="16"/>
      <c r="R51" s="54"/>
      <c r="S51" s="2">
        <f t="shared" si="31"/>
        <v>-0.5775319998974023</v>
      </c>
      <c r="T51" s="2">
        <f t="shared" si="32"/>
        <v>0.42109753485717155</v>
      </c>
      <c r="U51" s="2">
        <f t="shared" si="33"/>
        <v>-0.5200121484190409</v>
      </c>
      <c r="V51" s="3">
        <f t="shared" si="34"/>
        <v>143.90298221345148</v>
      </c>
      <c r="W51" s="4">
        <f t="shared" si="35"/>
        <v>-36.03757428009842</v>
      </c>
      <c r="X51" s="5">
        <f t="shared" si="51"/>
        <v>143.90298221345148</v>
      </c>
      <c r="Y51" s="3">
        <f t="shared" si="36"/>
        <v>53.90298221345148</v>
      </c>
      <c r="Z51" s="6">
        <f t="shared" si="37"/>
        <v>53.96242571990158</v>
      </c>
      <c r="AA51" s="7">
        <f t="shared" si="38"/>
        <v>51.100968146286306</v>
      </c>
      <c r="AB51" s="8">
        <f t="shared" si="39"/>
        <v>51.100968146286306</v>
      </c>
      <c r="AC51" s="9">
        <f t="shared" si="40"/>
        <v>0.6279499073203448</v>
      </c>
      <c r="AD51" s="9">
        <f t="shared" si="41"/>
        <v>0.45785888579916223</v>
      </c>
      <c r="AE51" s="9">
        <f t="shared" si="42"/>
        <v>0.6293203910498373</v>
      </c>
      <c r="AF51" s="10">
        <f t="shared" si="43"/>
        <v>90</v>
      </c>
      <c r="AG51" s="8">
        <f t="shared" si="44"/>
        <v>38.99999999999999</v>
      </c>
      <c r="AH51" s="9">
        <f t="shared" si="45"/>
        <v>0.00012037439376482902</v>
      </c>
      <c r="AI51" s="11"/>
      <c r="AJ51" s="16"/>
      <c r="AK51" s="77">
        <v>236</v>
      </c>
      <c r="AL51" s="78">
        <v>39</v>
      </c>
      <c r="AM51" s="5">
        <f t="shared" si="46"/>
        <v>267.9029822134515</v>
      </c>
      <c r="AN51" s="3">
        <f t="shared" si="47"/>
        <v>177.90298221345148</v>
      </c>
      <c r="AO51" s="6">
        <f t="shared" si="48"/>
        <v>53.96242571990158</v>
      </c>
      <c r="AP51" s="10"/>
      <c r="AQ51" s="7"/>
      <c r="AR51" s="10"/>
      <c r="AS51" s="17"/>
      <c r="AT51" s="18" t="s">
        <v>75</v>
      </c>
    </row>
    <row r="52" spans="1:46" ht="15">
      <c r="A52" s="11" t="s">
        <v>45</v>
      </c>
      <c r="B52" s="13" t="s">
        <v>46</v>
      </c>
      <c r="C52" s="13">
        <v>3</v>
      </c>
      <c r="D52" s="14">
        <v>6</v>
      </c>
      <c r="E52" s="19" t="s">
        <v>47</v>
      </c>
      <c r="F52" s="13" t="s">
        <v>71</v>
      </c>
      <c r="G52" s="45">
        <f t="shared" si="53"/>
        <v>26.610999999999997</v>
      </c>
      <c r="H52" s="45">
        <f t="shared" si="53"/>
        <v>26.7838</v>
      </c>
      <c r="I52" s="1">
        <f t="shared" si="30"/>
        <v>26.6974</v>
      </c>
      <c r="J52" s="51">
        <v>45</v>
      </c>
      <c r="K52" s="51">
        <v>63</v>
      </c>
      <c r="L52" s="14">
        <f t="shared" si="52"/>
        <v>54</v>
      </c>
      <c r="M52" s="52">
        <v>0</v>
      </c>
      <c r="N52" s="53">
        <v>75</v>
      </c>
      <c r="O52" s="53">
        <v>270</v>
      </c>
      <c r="P52" s="53">
        <v>67</v>
      </c>
      <c r="Q52" s="16"/>
      <c r="R52" s="54"/>
      <c r="S52" s="2">
        <f t="shared" si="31"/>
        <v>0.3774172881428621</v>
      </c>
      <c r="T52" s="2">
        <f t="shared" si="32"/>
        <v>-0.23824418718279644</v>
      </c>
      <c r="U52" s="2">
        <f t="shared" si="33"/>
        <v>-0.10112865756742422</v>
      </c>
      <c r="V52" s="3">
        <f t="shared" si="34"/>
        <v>327.73788237096</v>
      </c>
      <c r="W52" s="4">
        <f t="shared" si="35"/>
        <v>-12.766619896759938</v>
      </c>
      <c r="X52" s="5">
        <f t="shared" si="51"/>
        <v>327.73788237096</v>
      </c>
      <c r="Y52" s="3">
        <f t="shared" si="36"/>
        <v>237.73788237096</v>
      </c>
      <c r="Z52" s="6">
        <f t="shared" si="37"/>
        <v>77.23338010324007</v>
      </c>
      <c r="AA52" s="7">
        <f t="shared" si="38"/>
        <v>70.70645369024083</v>
      </c>
      <c r="AB52" s="8">
        <f t="shared" si="39"/>
        <v>70.70645369024083</v>
      </c>
      <c r="AC52" s="9">
        <f t="shared" si="40"/>
        <v>0.3304080826296515</v>
      </c>
      <c r="AD52" s="9">
        <f t="shared" si="41"/>
        <v>0.2085696854854483</v>
      </c>
      <c r="AE52" s="9">
        <f t="shared" si="42"/>
        <v>0.9205048534524403</v>
      </c>
      <c r="AF52" s="10">
        <f t="shared" si="43"/>
        <v>270</v>
      </c>
      <c r="AG52" s="8">
        <f t="shared" si="44"/>
        <v>66.99999999999999</v>
      </c>
      <c r="AH52" s="9">
        <f t="shared" si="45"/>
        <v>9.264252655777035E-05</v>
      </c>
      <c r="AI52" s="11"/>
      <c r="AJ52" s="16"/>
      <c r="AK52" s="77">
        <v>236</v>
      </c>
      <c r="AL52" s="78">
        <v>39</v>
      </c>
      <c r="AM52" s="5">
        <f t="shared" si="46"/>
        <v>91.73788237096</v>
      </c>
      <c r="AN52" s="3">
        <f t="shared" si="47"/>
        <v>1.7378823709599942</v>
      </c>
      <c r="AO52" s="6">
        <f t="shared" si="48"/>
        <v>77.23338010324007</v>
      </c>
      <c r="AP52" s="10"/>
      <c r="AQ52" s="7"/>
      <c r="AR52" s="10"/>
      <c r="AS52" s="17"/>
      <c r="AT52" s="18" t="s">
        <v>73</v>
      </c>
    </row>
    <row r="53" spans="1:45" ht="15">
      <c r="A53" s="11" t="s">
        <v>45</v>
      </c>
      <c r="B53" s="13" t="s">
        <v>46</v>
      </c>
      <c r="C53" s="13">
        <v>3</v>
      </c>
      <c r="D53" s="14">
        <v>6</v>
      </c>
      <c r="E53" s="19" t="s">
        <v>47</v>
      </c>
      <c r="F53" s="13" t="s">
        <v>54</v>
      </c>
      <c r="G53" s="45">
        <f t="shared" si="53"/>
        <v>26.735799999999998</v>
      </c>
      <c r="H53" s="45">
        <f t="shared" si="53"/>
        <v>26.966199999999997</v>
      </c>
      <c r="I53" s="1">
        <f t="shared" si="30"/>
        <v>26.851</v>
      </c>
      <c r="J53" s="51">
        <v>58</v>
      </c>
      <c r="K53" s="51">
        <v>82</v>
      </c>
      <c r="L53" s="14">
        <f t="shared" si="52"/>
        <v>70</v>
      </c>
      <c r="M53" s="52">
        <v>0</v>
      </c>
      <c r="N53" s="53">
        <v>66</v>
      </c>
      <c r="O53" s="53">
        <v>270</v>
      </c>
      <c r="P53" s="53">
        <v>55</v>
      </c>
      <c r="Q53" s="16"/>
      <c r="R53" s="54"/>
      <c r="S53" s="2">
        <f t="shared" si="31"/>
        <v>0.5239881480393286</v>
      </c>
      <c r="T53" s="2">
        <f t="shared" si="32"/>
        <v>-0.33317915266278386</v>
      </c>
      <c r="U53" s="2">
        <f t="shared" si="33"/>
        <v>-0.2332945542688049</v>
      </c>
      <c r="V53" s="3">
        <f t="shared" si="34"/>
        <v>327.5496588990573</v>
      </c>
      <c r="W53" s="4">
        <f t="shared" si="35"/>
        <v>-20.5916643616101</v>
      </c>
      <c r="X53" s="5">
        <f t="shared" si="51"/>
        <v>327.5496588990573</v>
      </c>
      <c r="Y53" s="3">
        <f t="shared" si="36"/>
        <v>237.5496588990573</v>
      </c>
      <c r="Z53" s="6">
        <f t="shared" si="37"/>
        <v>69.4083356383899</v>
      </c>
      <c r="AA53" s="7">
        <f t="shared" si="38"/>
        <v>61.05195139358361</v>
      </c>
      <c r="AB53" s="8">
        <f t="shared" si="39"/>
        <v>61.05195139358361</v>
      </c>
      <c r="AC53" s="9">
        <f t="shared" si="40"/>
        <v>0.4840163833726131</v>
      </c>
      <c r="AD53" s="9">
        <f t="shared" si="41"/>
        <v>0.30776300779018473</v>
      </c>
      <c r="AE53" s="9">
        <f t="shared" si="42"/>
        <v>0.8191520442889917</v>
      </c>
      <c r="AF53" s="10">
        <f t="shared" si="43"/>
        <v>270</v>
      </c>
      <c r="AG53" s="8">
        <f t="shared" si="44"/>
        <v>54.999999999999986</v>
      </c>
      <c r="AH53" s="9">
        <f t="shared" si="45"/>
        <v>0.0001207700806223283</v>
      </c>
      <c r="AI53" s="11"/>
      <c r="AJ53" s="16"/>
      <c r="AK53" s="77">
        <v>236</v>
      </c>
      <c r="AL53" s="78">
        <v>39</v>
      </c>
      <c r="AM53" s="5">
        <f t="shared" si="46"/>
        <v>91.5496588990573</v>
      </c>
      <c r="AN53" s="3">
        <f t="shared" si="47"/>
        <v>1.549658899057306</v>
      </c>
      <c r="AO53" s="6">
        <f t="shared" si="48"/>
        <v>69.4083356383899</v>
      </c>
      <c r="AP53" s="10"/>
      <c r="AQ53" s="7"/>
      <c r="AR53" s="10"/>
      <c r="AS53" s="17"/>
    </row>
    <row r="54" spans="1:45" ht="15">
      <c r="A54" s="11" t="s">
        <v>45</v>
      </c>
      <c r="B54" s="13" t="s">
        <v>46</v>
      </c>
      <c r="C54" s="13">
        <v>3</v>
      </c>
      <c r="D54" s="14">
        <v>6</v>
      </c>
      <c r="E54" s="19" t="s">
        <v>47</v>
      </c>
      <c r="F54" s="13" t="s">
        <v>74</v>
      </c>
      <c r="G54" s="45">
        <f t="shared" si="53"/>
        <v>26.947</v>
      </c>
      <c r="H54" s="45">
        <f t="shared" si="53"/>
        <v>27.062199999999997</v>
      </c>
      <c r="I54" s="1">
        <f t="shared" si="30"/>
        <v>27.004599999999996</v>
      </c>
      <c r="J54" s="51">
        <v>80</v>
      </c>
      <c r="K54" s="51">
        <v>92</v>
      </c>
      <c r="L54" s="14">
        <f t="shared" si="52"/>
        <v>86</v>
      </c>
      <c r="M54" s="52">
        <v>180</v>
      </c>
      <c r="N54" s="53">
        <v>42</v>
      </c>
      <c r="O54" s="53">
        <v>90</v>
      </c>
      <c r="P54" s="53">
        <v>26</v>
      </c>
      <c r="Q54" s="16"/>
      <c r="R54" s="54"/>
      <c r="S54" s="2">
        <f t="shared" si="31"/>
        <v>-0.6014106051918934</v>
      </c>
      <c r="T54" s="2">
        <f t="shared" si="32"/>
        <v>0.32577324937489416</v>
      </c>
      <c r="U54" s="2">
        <f t="shared" si="33"/>
        <v>-0.6679341446771155</v>
      </c>
      <c r="V54" s="3">
        <f t="shared" si="34"/>
        <v>151.55639582435413</v>
      </c>
      <c r="W54" s="4">
        <f t="shared" si="35"/>
        <v>-44.32016381591745</v>
      </c>
      <c r="X54" s="5">
        <f t="shared" si="51"/>
        <v>151.55639582435413</v>
      </c>
      <c r="Y54" s="3">
        <f t="shared" si="36"/>
        <v>61.55639582435413</v>
      </c>
      <c r="Z54" s="6">
        <f t="shared" si="37"/>
        <v>45.67983618408255</v>
      </c>
      <c r="AA54" s="7">
        <f t="shared" si="38"/>
        <v>37.78669320698003</v>
      </c>
      <c r="AB54" s="8">
        <f t="shared" si="39"/>
        <v>37.78669320698003</v>
      </c>
      <c r="AC54" s="9">
        <f t="shared" si="40"/>
        <v>0.7902973371040606</v>
      </c>
      <c r="AD54" s="9">
        <f t="shared" si="41"/>
        <v>0.42808977636596285</v>
      </c>
      <c r="AE54" s="9">
        <f t="shared" si="42"/>
        <v>0.43837114678907735</v>
      </c>
      <c r="AF54" s="10">
        <f t="shared" si="43"/>
        <v>90.00000000000001</v>
      </c>
      <c r="AG54" s="8">
        <f t="shared" si="44"/>
        <v>25.999999999999993</v>
      </c>
      <c r="AH54" s="9">
        <f t="shared" si="45"/>
        <v>0.000105528364393981</v>
      </c>
      <c r="AI54" s="11"/>
      <c r="AJ54" s="16"/>
      <c r="AK54" s="77">
        <v>236</v>
      </c>
      <c r="AL54" s="78">
        <v>39</v>
      </c>
      <c r="AM54" s="5">
        <f t="shared" si="46"/>
        <v>275.5563958243541</v>
      </c>
      <c r="AN54" s="3">
        <f t="shared" si="47"/>
        <v>185.55639582435413</v>
      </c>
      <c r="AO54" s="6">
        <f t="shared" si="48"/>
        <v>45.67983618408255</v>
      </c>
      <c r="AP54" s="10"/>
      <c r="AQ54" s="7"/>
      <c r="AR54" s="10"/>
      <c r="AS54" s="17"/>
    </row>
    <row r="55" spans="1:45" ht="15">
      <c r="A55" s="11" t="s">
        <v>45</v>
      </c>
      <c r="B55" s="13" t="s">
        <v>46</v>
      </c>
      <c r="C55" s="13">
        <v>3</v>
      </c>
      <c r="D55" s="14">
        <v>6</v>
      </c>
      <c r="E55" s="19" t="s">
        <v>47</v>
      </c>
      <c r="F55" s="13" t="s">
        <v>74</v>
      </c>
      <c r="G55" s="45">
        <f t="shared" si="53"/>
        <v>27.0718</v>
      </c>
      <c r="H55" s="45">
        <f t="shared" si="53"/>
        <v>27.1486</v>
      </c>
      <c r="I55" s="1">
        <f t="shared" si="30"/>
        <v>27.1102</v>
      </c>
      <c r="J55" s="51">
        <v>93</v>
      </c>
      <c r="K55" s="51">
        <v>101</v>
      </c>
      <c r="L55" s="14">
        <f t="shared" si="52"/>
        <v>97</v>
      </c>
      <c r="M55" s="52">
        <v>0</v>
      </c>
      <c r="N55" s="53">
        <v>46</v>
      </c>
      <c r="O55" s="53">
        <v>90</v>
      </c>
      <c r="P55" s="53">
        <v>30</v>
      </c>
      <c r="Q55" s="16"/>
      <c r="R55" s="54"/>
      <c r="S55" s="2">
        <f t="shared" si="31"/>
        <v>-0.6229665410464978</v>
      </c>
      <c r="T55" s="2">
        <f t="shared" si="32"/>
        <v>-0.34732918522949857</v>
      </c>
      <c r="U55" s="2">
        <f t="shared" si="33"/>
        <v>0.6015917957689934</v>
      </c>
      <c r="V55" s="3">
        <f t="shared" si="34"/>
        <v>209.14144454694082</v>
      </c>
      <c r="W55" s="4">
        <f t="shared" si="35"/>
        <v>40.14602743795894</v>
      </c>
      <c r="X55" s="5">
        <f t="shared" si="51"/>
        <v>29.141444546940818</v>
      </c>
      <c r="Y55" s="3">
        <f t="shared" si="36"/>
        <v>299.1414445469408</v>
      </c>
      <c r="Z55" s="6">
        <f t="shared" si="37"/>
        <v>49.85397256204106</v>
      </c>
      <c r="AA55" s="7">
        <f t="shared" si="38"/>
        <v>139.1482075120222</v>
      </c>
      <c r="AB55" s="8">
        <f t="shared" si="39"/>
        <v>139.1482075120222</v>
      </c>
      <c r="AC55" s="9">
        <f t="shared" si="40"/>
        <v>-0.7564040872615487</v>
      </c>
      <c r="AD55" s="9">
        <f t="shared" si="41"/>
        <v>0.4217260446949222</v>
      </c>
      <c r="AE55" s="9">
        <f t="shared" si="42"/>
        <v>0.4999999999999999</v>
      </c>
      <c r="AF55" s="10">
        <f t="shared" si="43"/>
        <v>89.99999999999997</v>
      </c>
      <c r="AG55" s="8">
        <f t="shared" si="44"/>
        <v>29.999999999999993</v>
      </c>
      <c r="AH55" s="9">
        <f t="shared" si="45"/>
        <v>-0.00011520212202222784</v>
      </c>
      <c r="AI55" s="11"/>
      <c r="AJ55" s="16"/>
      <c r="AK55" s="77">
        <v>236</v>
      </c>
      <c r="AL55" s="78">
        <v>39</v>
      </c>
      <c r="AM55" s="5">
        <f t="shared" si="46"/>
        <v>153.14144454694082</v>
      </c>
      <c r="AN55" s="3">
        <f t="shared" si="47"/>
        <v>63.14144454694082</v>
      </c>
      <c r="AO55" s="6">
        <f t="shared" si="48"/>
        <v>49.85397256204106</v>
      </c>
      <c r="AP55" s="10"/>
      <c r="AQ55" s="7"/>
      <c r="AR55" s="10"/>
      <c r="AS55" s="17"/>
    </row>
    <row r="56" spans="1:45" ht="15">
      <c r="A56" s="11" t="s">
        <v>45</v>
      </c>
      <c r="B56" s="13" t="s">
        <v>46</v>
      </c>
      <c r="C56" s="13">
        <v>3</v>
      </c>
      <c r="D56" s="14">
        <v>6</v>
      </c>
      <c r="E56" s="19" t="s">
        <v>47</v>
      </c>
      <c r="F56" s="13" t="s">
        <v>71</v>
      </c>
      <c r="G56" s="45">
        <f t="shared" si="53"/>
        <v>27.0814</v>
      </c>
      <c r="H56" s="45">
        <f t="shared" si="53"/>
        <v>27.139</v>
      </c>
      <c r="I56" s="1">
        <f t="shared" si="30"/>
        <v>27.1102</v>
      </c>
      <c r="J56" s="51">
        <v>94</v>
      </c>
      <c r="K56" s="51">
        <v>100</v>
      </c>
      <c r="L56" s="14">
        <f t="shared" si="52"/>
        <v>97</v>
      </c>
      <c r="M56" s="52">
        <v>0</v>
      </c>
      <c r="N56" s="53">
        <v>84</v>
      </c>
      <c r="O56" s="53">
        <v>90</v>
      </c>
      <c r="P56" s="53">
        <v>68</v>
      </c>
      <c r="Q56" s="16"/>
      <c r="R56" s="54"/>
      <c r="S56" s="2">
        <f t="shared" si="31"/>
        <v>-0.3725544593014449</v>
      </c>
      <c r="T56" s="2">
        <f t="shared" si="32"/>
        <v>-0.09691710348444575</v>
      </c>
      <c r="U56" s="2">
        <f t="shared" si="33"/>
        <v>0.039157051539695946</v>
      </c>
      <c r="V56" s="3">
        <f t="shared" si="34"/>
        <v>194.58184272061297</v>
      </c>
      <c r="W56" s="4">
        <f t="shared" si="35"/>
        <v>5.808077030724171</v>
      </c>
      <c r="X56" s="5">
        <f t="shared" si="51"/>
        <v>14.581842720612968</v>
      </c>
      <c r="Y56" s="3">
        <f t="shared" si="36"/>
        <v>284.58184272061294</v>
      </c>
      <c r="Z56" s="6">
        <f t="shared" si="37"/>
        <v>84.19192296927582</v>
      </c>
      <c r="AA56" s="7">
        <f t="shared" si="38"/>
        <v>111.25627701520584</v>
      </c>
      <c r="AB56" s="8">
        <f t="shared" si="39"/>
        <v>111.25627701520584</v>
      </c>
      <c r="AC56" s="9">
        <f t="shared" si="40"/>
        <v>-0.3625401418415121</v>
      </c>
      <c r="AD56" s="9">
        <f t="shared" si="41"/>
        <v>0.09431195780075108</v>
      </c>
      <c r="AE56" s="9">
        <f t="shared" si="42"/>
        <v>0.9271838545667874</v>
      </c>
      <c r="AF56" s="10">
        <f t="shared" si="43"/>
        <v>89.99999999999994</v>
      </c>
      <c r="AG56" s="8">
        <f t="shared" si="44"/>
        <v>68</v>
      </c>
      <c r="AH56" s="9">
        <f t="shared" si="45"/>
        <v>-0.00010238936344326176</v>
      </c>
      <c r="AI56" s="11"/>
      <c r="AJ56" s="16"/>
      <c r="AK56" s="77">
        <v>236</v>
      </c>
      <c r="AL56" s="78">
        <v>39</v>
      </c>
      <c r="AM56" s="5">
        <f t="shared" si="46"/>
        <v>138.58184272061297</v>
      </c>
      <c r="AN56" s="3">
        <f t="shared" si="47"/>
        <v>48.58184272061297</v>
      </c>
      <c r="AO56" s="6">
        <f t="shared" si="48"/>
        <v>84.19192296927582</v>
      </c>
      <c r="AP56" s="10"/>
      <c r="AQ56" s="7"/>
      <c r="AR56" s="10"/>
      <c r="AS56" s="17"/>
    </row>
    <row r="57" spans="1:45" ht="15">
      <c r="A57" s="11" t="s">
        <v>45</v>
      </c>
      <c r="B57" s="13" t="s">
        <v>46</v>
      </c>
      <c r="C57" s="13">
        <v>3</v>
      </c>
      <c r="D57" s="14">
        <v>8</v>
      </c>
      <c r="E57" s="19" t="s">
        <v>48</v>
      </c>
      <c r="F57" s="13"/>
      <c r="G57" s="45">
        <f aca="true" t="shared" si="54" ref="G57:H59">J57*0.96/100+27.409</f>
        <v>28.0426</v>
      </c>
      <c r="H57" s="45">
        <f t="shared" si="54"/>
        <v>28.0906</v>
      </c>
      <c r="I57" s="1">
        <f t="shared" si="30"/>
        <v>28.0666</v>
      </c>
      <c r="J57" s="51">
        <v>66</v>
      </c>
      <c r="K57" s="51">
        <v>71</v>
      </c>
      <c r="L57" s="14">
        <f t="shared" si="52"/>
        <v>68.5</v>
      </c>
      <c r="M57" s="52">
        <v>180</v>
      </c>
      <c r="N57" s="53">
        <v>22</v>
      </c>
      <c r="O57" s="53">
        <v>90</v>
      </c>
      <c r="P57" s="53">
        <v>23</v>
      </c>
      <c r="Q57" s="16"/>
      <c r="R57" s="54"/>
      <c r="S57" s="2">
        <f t="shared" si="31"/>
        <v>-0.34482718737463197</v>
      </c>
      <c r="T57" s="2">
        <f t="shared" si="32"/>
        <v>0.3622795938119155</v>
      </c>
      <c r="U57" s="2">
        <f t="shared" si="33"/>
        <v>-0.8534772381714695</v>
      </c>
      <c r="V57" s="3">
        <f t="shared" si="34"/>
        <v>133.58614528295615</v>
      </c>
      <c r="W57" s="4">
        <f t="shared" si="35"/>
        <v>-59.62896731108048</v>
      </c>
      <c r="X57" s="5">
        <f t="shared" si="51"/>
        <v>133.58614528295615</v>
      </c>
      <c r="Y57" s="3">
        <f t="shared" si="36"/>
        <v>43.58614528295615</v>
      </c>
      <c r="Z57" s="6">
        <f t="shared" si="37"/>
        <v>30.37103268891952</v>
      </c>
      <c r="AA57" s="7">
        <f t="shared" si="38"/>
        <v>50.60693879734799</v>
      </c>
      <c r="AB57" s="8">
        <f t="shared" si="39"/>
        <v>50.60693879734799</v>
      </c>
      <c r="AC57" s="9">
        <f t="shared" si="40"/>
        <v>0.634636926756774</v>
      </c>
      <c r="AD57" s="9">
        <f t="shared" si="41"/>
        <v>0.6667571945065279</v>
      </c>
      <c r="AE57" s="9">
        <f t="shared" si="42"/>
        <v>0.39073112848927355</v>
      </c>
      <c r="AF57" s="10">
        <f t="shared" si="43"/>
        <v>90</v>
      </c>
      <c r="AG57" s="8">
        <f t="shared" si="44"/>
        <v>22.99999999999999</v>
      </c>
      <c r="AH57" s="9">
        <f t="shared" si="45"/>
        <v>7.55345833988019E-05</v>
      </c>
      <c r="AI57" s="11"/>
      <c r="AJ57" s="16"/>
      <c r="AK57" s="77">
        <v>236</v>
      </c>
      <c r="AL57" s="78">
        <v>39</v>
      </c>
      <c r="AM57" s="5">
        <f t="shared" si="46"/>
        <v>257.5861452829562</v>
      </c>
      <c r="AN57" s="3">
        <f t="shared" si="47"/>
        <v>167.58614528295618</v>
      </c>
      <c r="AO57" s="6">
        <f t="shared" si="48"/>
        <v>30.37103268891952</v>
      </c>
      <c r="AP57" s="10"/>
      <c r="AQ57" s="7"/>
      <c r="AR57" s="10"/>
      <c r="AS57" s="17"/>
    </row>
    <row r="58" spans="1:46" ht="15">
      <c r="A58" s="11" t="s">
        <v>45</v>
      </c>
      <c r="B58" s="13" t="s">
        <v>46</v>
      </c>
      <c r="C58" s="13">
        <v>3</v>
      </c>
      <c r="D58" s="14">
        <v>8</v>
      </c>
      <c r="E58" s="19" t="s">
        <v>50</v>
      </c>
      <c r="F58" s="13" t="s">
        <v>72</v>
      </c>
      <c r="G58" s="45">
        <f t="shared" si="54"/>
        <v>28.3498</v>
      </c>
      <c r="H58" s="45">
        <f t="shared" si="54"/>
        <v>28.3978</v>
      </c>
      <c r="I58" s="1">
        <f t="shared" si="30"/>
        <v>28.3738</v>
      </c>
      <c r="J58" s="51">
        <v>98</v>
      </c>
      <c r="K58" s="51">
        <v>103</v>
      </c>
      <c r="L58" s="14">
        <f t="shared" si="52"/>
        <v>100.5</v>
      </c>
      <c r="M58" s="52">
        <v>0</v>
      </c>
      <c r="N58" s="53">
        <v>24</v>
      </c>
      <c r="O58" s="53">
        <v>133</v>
      </c>
      <c r="P58" s="53">
        <v>0</v>
      </c>
      <c r="Q58" s="16"/>
      <c r="R58" s="54"/>
      <c r="S58" s="2">
        <f t="shared" si="31"/>
        <v>-0.29746834949764184</v>
      </c>
      <c r="T58" s="2">
        <f t="shared" si="32"/>
        <v>-0.27739372355502145</v>
      </c>
      <c r="U58" s="2">
        <f t="shared" si="33"/>
        <v>0.6681248520442954</v>
      </c>
      <c r="V58" s="3">
        <f t="shared" si="34"/>
        <v>223</v>
      </c>
      <c r="W58" s="4">
        <f t="shared" si="35"/>
        <v>58.66805657635153</v>
      </c>
      <c r="X58" s="5">
        <f t="shared" si="51"/>
        <v>43</v>
      </c>
      <c r="Y58" s="3">
        <f t="shared" si="36"/>
        <v>313</v>
      </c>
      <c r="Z58" s="6">
        <f t="shared" si="37"/>
        <v>31.331943423648468</v>
      </c>
      <c r="AA58" s="7">
        <f t="shared" si="38"/>
        <v>132.4891907546205</v>
      </c>
      <c r="AB58" s="8">
        <f t="shared" si="39"/>
        <v>132.4891907546205</v>
      </c>
      <c r="AC58" s="9">
        <f t="shared" si="40"/>
        <v>-0.6754511031211979</v>
      </c>
      <c r="AD58" s="9">
        <f t="shared" si="41"/>
        <v>0.6298683436088426</v>
      </c>
      <c r="AE58" s="9">
        <f t="shared" si="42"/>
        <v>0.38344709806153154</v>
      </c>
      <c r="AF58" s="10">
        <f t="shared" si="43"/>
        <v>90</v>
      </c>
      <c r="AG58" s="8">
        <f t="shared" si="44"/>
        <v>22.547367993154552</v>
      </c>
      <c r="AH58" s="9">
        <f t="shared" si="45"/>
        <v>-7.889342389514008E-05</v>
      </c>
      <c r="AI58" s="11"/>
      <c r="AJ58" s="16"/>
      <c r="AK58" s="77">
        <v>236</v>
      </c>
      <c r="AL58" s="78">
        <v>39</v>
      </c>
      <c r="AM58" s="5">
        <f t="shared" si="46"/>
        <v>167</v>
      </c>
      <c r="AN58" s="3">
        <f t="shared" si="47"/>
        <v>77</v>
      </c>
      <c r="AO58" s="6">
        <f t="shared" si="48"/>
        <v>31.331943423648468</v>
      </c>
      <c r="AP58" s="10"/>
      <c r="AQ58" s="7"/>
      <c r="AR58" s="10"/>
      <c r="AS58" s="17"/>
      <c r="AT58" s="18" t="s">
        <v>70</v>
      </c>
    </row>
    <row r="59" spans="1:45" ht="15">
      <c r="A59" s="11" t="s">
        <v>45</v>
      </c>
      <c r="B59" s="13" t="s">
        <v>46</v>
      </c>
      <c r="C59" s="13">
        <v>3</v>
      </c>
      <c r="D59" s="14">
        <v>8</v>
      </c>
      <c r="E59" s="19" t="s">
        <v>47</v>
      </c>
      <c r="F59" s="13" t="s">
        <v>71</v>
      </c>
      <c r="G59" s="45">
        <f t="shared" si="54"/>
        <v>28.6378</v>
      </c>
      <c r="H59" s="45">
        <f t="shared" si="54"/>
        <v>28.676199999999998</v>
      </c>
      <c r="I59" s="1">
        <f t="shared" si="30"/>
        <v>28.656999999999996</v>
      </c>
      <c r="J59" s="51">
        <v>128</v>
      </c>
      <c r="K59" s="51">
        <v>132</v>
      </c>
      <c r="L59" s="14">
        <f t="shared" si="52"/>
        <v>130</v>
      </c>
      <c r="M59" s="52">
        <v>180</v>
      </c>
      <c r="N59" s="53">
        <v>20</v>
      </c>
      <c r="O59" s="53">
        <v>90</v>
      </c>
      <c r="P59" s="53">
        <v>18</v>
      </c>
      <c r="Q59" s="16"/>
      <c r="R59" s="54"/>
      <c r="S59" s="2">
        <f t="shared" si="31"/>
        <v>-0.32528048601407955</v>
      </c>
      <c r="T59" s="2">
        <f t="shared" si="32"/>
        <v>0.29038098931157863</v>
      </c>
      <c r="U59" s="2">
        <f t="shared" si="33"/>
        <v>-0.8937007903129088</v>
      </c>
      <c r="V59" s="3">
        <f t="shared" si="34"/>
        <v>138.24440668753886</v>
      </c>
      <c r="W59" s="4">
        <f t="shared" si="35"/>
        <v>-63.992217181944866</v>
      </c>
      <c r="X59" s="5">
        <f t="shared" si="51"/>
        <v>138.24440668753886</v>
      </c>
      <c r="Y59" s="3">
        <f t="shared" si="36"/>
        <v>48.244406687538856</v>
      </c>
      <c r="Z59" s="6">
        <f t="shared" si="37"/>
        <v>26.007782818055134</v>
      </c>
      <c r="AA59" s="7">
        <f t="shared" si="38"/>
        <v>44.80730425017671</v>
      </c>
      <c r="AB59" s="8">
        <f t="shared" si="39"/>
        <v>44.80730425017671</v>
      </c>
      <c r="AC59" s="9">
        <f t="shared" si="40"/>
        <v>0.709480901736337</v>
      </c>
      <c r="AD59" s="9">
        <f t="shared" si="41"/>
        <v>0.633360361294317</v>
      </c>
      <c r="AE59" s="9">
        <f t="shared" si="42"/>
        <v>0.3090169943749475</v>
      </c>
      <c r="AF59" s="10">
        <f t="shared" si="43"/>
        <v>89.99999999999999</v>
      </c>
      <c r="AG59" s="8">
        <f t="shared" si="44"/>
        <v>18.000000000000007</v>
      </c>
      <c r="AH59" s="9">
        <f t="shared" si="45"/>
        <v>6.678279702905883E-05</v>
      </c>
      <c r="AI59" s="11"/>
      <c r="AJ59" s="16"/>
      <c r="AK59" s="77">
        <v>236</v>
      </c>
      <c r="AL59" s="78">
        <v>39</v>
      </c>
      <c r="AM59" s="5">
        <f t="shared" si="46"/>
        <v>262.24440668753886</v>
      </c>
      <c r="AN59" s="3">
        <f t="shared" si="47"/>
        <v>172.24440668753886</v>
      </c>
      <c r="AO59" s="6">
        <f t="shared" si="48"/>
        <v>26.007782818055134</v>
      </c>
      <c r="AP59" s="10"/>
      <c r="AQ59" s="7"/>
      <c r="AR59" s="10"/>
      <c r="AS59" s="17"/>
    </row>
    <row r="60" spans="1:45" ht="15">
      <c r="A60" s="11" t="s">
        <v>45</v>
      </c>
      <c r="B60" s="13" t="s">
        <v>46</v>
      </c>
      <c r="C60" s="13">
        <v>3</v>
      </c>
      <c r="D60" s="14">
        <v>9</v>
      </c>
      <c r="E60" s="19" t="s">
        <v>48</v>
      </c>
      <c r="F60" s="13"/>
      <c r="G60" s="45">
        <f>J60*0.96/100+28.779</f>
        <v>28.9614</v>
      </c>
      <c r="H60" s="45">
        <f>K60*0.96/100+28.779</f>
        <v>28.9902</v>
      </c>
      <c r="I60" s="1">
        <f t="shared" si="30"/>
        <v>28.9758</v>
      </c>
      <c r="J60" s="51">
        <v>19</v>
      </c>
      <c r="K60" s="51">
        <v>22</v>
      </c>
      <c r="L60" s="14">
        <f t="shared" si="52"/>
        <v>20.5</v>
      </c>
      <c r="M60" s="52">
        <v>180</v>
      </c>
      <c r="N60" s="53">
        <v>22</v>
      </c>
      <c r="O60" s="53">
        <v>90</v>
      </c>
      <c r="P60" s="53">
        <v>13</v>
      </c>
      <c r="Q60" s="16"/>
      <c r="R60" s="54"/>
      <c r="S60" s="2">
        <f t="shared" si="31"/>
        <v>-0.36500545069563844</v>
      </c>
      <c r="T60" s="2">
        <f t="shared" si="32"/>
        <v>0.20857098565540766</v>
      </c>
      <c r="U60" s="2">
        <f t="shared" si="33"/>
        <v>-0.9034201924420648</v>
      </c>
      <c r="V60" s="3">
        <f t="shared" si="34"/>
        <v>150.2555396863434</v>
      </c>
      <c r="W60" s="4">
        <f t="shared" si="35"/>
        <v>-65.04575975106134</v>
      </c>
      <c r="X60" s="5">
        <f t="shared" si="51"/>
        <v>150.2555396863434</v>
      </c>
      <c r="Y60" s="3">
        <f t="shared" si="36"/>
        <v>60.25553968634341</v>
      </c>
      <c r="Z60" s="6">
        <f t="shared" si="37"/>
        <v>24.95424024893866</v>
      </c>
      <c r="AA60" s="7">
        <f t="shared" si="38"/>
        <v>32.22144287412374</v>
      </c>
      <c r="AB60" s="8">
        <f t="shared" si="39"/>
        <v>32.22144287412374</v>
      </c>
      <c r="AC60" s="9">
        <f t="shared" si="40"/>
        <v>0.8459936785897627</v>
      </c>
      <c r="AD60" s="9">
        <f t="shared" si="41"/>
        <v>0.48341671354613386</v>
      </c>
      <c r="AE60" s="9">
        <f t="shared" si="42"/>
        <v>0.22495105434386492</v>
      </c>
      <c r="AF60" s="10">
        <f t="shared" si="43"/>
        <v>90</v>
      </c>
      <c r="AG60" s="8">
        <f t="shared" si="44"/>
        <v>12.999999999999996</v>
      </c>
      <c r="AH60" s="9">
        <f t="shared" si="45"/>
        <v>5.796862374547365E-05</v>
      </c>
      <c r="AI60" s="11"/>
      <c r="AJ60" s="16"/>
      <c r="AK60" s="77">
        <v>236</v>
      </c>
      <c r="AL60" s="78">
        <v>39</v>
      </c>
      <c r="AM60" s="5">
        <f t="shared" si="46"/>
        <v>274.2555396863434</v>
      </c>
      <c r="AN60" s="3">
        <f t="shared" si="47"/>
        <v>184.2555396863434</v>
      </c>
      <c r="AO60" s="6">
        <f t="shared" si="48"/>
        <v>24.95424024893866</v>
      </c>
      <c r="AP60" s="10"/>
      <c r="AQ60" s="7"/>
      <c r="AR60" s="10"/>
      <c r="AS60" s="17"/>
    </row>
    <row r="61" spans="1:46" ht="15">
      <c r="A61" s="11" t="s">
        <v>45</v>
      </c>
      <c r="B61" s="13" t="s">
        <v>46</v>
      </c>
      <c r="C61" s="13">
        <v>3</v>
      </c>
      <c r="D61" s="14">
        <v>9</v>
      </c>
      <c r="E61" s="19" t="s">
        <v>51</v>
      </c>
      <c r="F61" s="13" t="s">
        <v>85</v>
      </c>
      <c r="G61" s="45">
        <f>J61*0.96/100+28.779</f>
        <v>29.163</v>
      </c>
      <c r="H61" s="45">
        <f>K61*0.96/100+28.779</f>
        <v>29.2302</v>
      </c>
      <c r="I61" s="1">
        <f t="shared" si="30"/>
        <v>29.1966</v>
      </c>
      <c r="J61" s="51">
        <v>40</v>
      </c>
      <c r="K61" s="51">
        <v>47</v>
      </c>
      <c r="L61" s="14">
        <f t="shared" si="52"/>
        <v>43.5</v>
      </c>
      <c r="M61" s="52">
        <v>0</v>
      </c>
      <c r="N61" s="53">
        <v>27</v>
      </c>
      <c r="O61" s="53">
        <v>90</v>
      </c>
      <c r="P61" s="53">
        <v>37</v>
      </c>
      <c r="Q61" s="16"/>
      <c r="R61" s="54"/>
      <c r="S61" s="2">
        <f t="shared" si="31"/>
        <v>-0.36257293431611826</v>
      </c>
      <c r="T61" s="2">
        <f t="shared" si="32"/>
        <v>-0.5362211119830487</v>
      </c>
      <c r="U61" s="2">
        <f t="shared" si="33"/>
        <v>0.7115894499006428</v>
      </c>
      <c r="V61" s="3">
        <f t="shared" si="34"/>
        <v>235.93489281843813</v>
      </c>
      <c r="W61" s="4">
        <f t="shared" si="35"/>
        <v>47.7088328481161</v>
      </c>
      <c r="X61" s="5">
        <f t="shared" si="51"/>
        <v>55.93489281843813</v>
      </c>
      <c r="Y61" s="3">
        <f t="shared" si="36"/>
        <v>325.93489281843813</v>
      </c>
      <c r="Z61" s="6">
        <f t="shared" si="37"/>
        <v>42.2911671518839</v>
      </c>
      <c r="AA61" s="7">
        <f t="shared" si="38"/>
        <v>116.5733657485379</v>
      </c>
      <c r="AB61" s="8">
        <f t="shared" si="39"/>
        <v>116.5733657485379</v>
      </c>
      <c r="AC61" s="9">
        <f t="shared" si="40"/>
        <v>-0.4473433870663218</v>
      </c>
      <c r="AD61" s="9">
        <f t="shared" si="41"/>
        <v>0.6615909400502173</v>
      </c>
      <c r="AE61" s="9">
        <f t="shared" si="42"/>
        <v>0.6018150231520484</v>
      </c>
      <c r="AF61" s="10">
        <f t="shared" si="43"/>
        <v>90</v>
      </c>
      <c r="AG61" s="8">
        <f t="shared" si="44"/>
        <v>37.000000000000014</v>
      </c>
      <c r="AH61" s="9">
        <f t="shared" si="45"/>
        <v>-8.200614251968841E-05</v>
      </c>
      <c r="AI61" s="11"/>
      <c r="AJ61" s="16"/>
      <c r="AK61" s="77">
        <v>236</v>
      </c>
      <c r="AL61" s="78">
        <v>39</v>
      </c>
      <c r="AM61" s="5">
        <f t="shared" si="46"/>
        <v>179.93489281843813</v>
      </c>
      <c r="AN61" s="3">
        <f t="shared" si="47"/>
        <v>89.93489281843813</v>
      </c>
      <c r="AO61" s="6">
        <f t="shared" si="48"/>
        <v>42.2911671518839</v>
      </c>
      <c r="AP61" s="10"/>
      <c r="AQ61" s="7"/>
      <c r="AR61" s="10"/>
      <c r="AS61" s="17"/>
      <c r="AT61" s="18" t="s">
        <v>69</v>
      </c>
    </row>
    <row r="62" spans="1:45" ht="15">
      <c r="A62" s="11" t="s">
        <v>45</v>
      </c>
      <c r="B62" s="13" t="s">
        <v>46</v>
      </c>
      <c r="C62" s="13">
        <v>4</v>
      </c>
      <c r="D62" s="14">
        <v>1</v>
      </c>
      <c r="E62" s="19" t="s">
        <v>48</v>
      </c>
      <c r="F62" s="13"/>
      <c r="G62" s="45">
        <f>J62*0.63/100+30</f>
        <v>30.4725</v>
      </c>
      <c r="H62" s="45">
        <f>K62*0.63/100+30</f>
        <v>30.4788</v>
      </c>
      <c r="I62" s="1">
        <f t="shared" si="30"/>
        <v>30.47565</v>
      </c>
      <c r="J62" s="51">
        <v>75</v>
      </c>
      <c r="K62" s="51">
        <v>76</v>
      </c>
      <c r="L62" s="14">
        <f t="shared" si="52"/>
        <v>75.5</v>
      </c>
      <c r="M62" s="52">
        <v>180</v>
      </c>
      <c r="N62" s="53">
        <v>7</v>
      </c>
      <c r="O62" s="53">
        <v>270</v>
      </c>
      <c r="P62" s="53">
        <v>8</v>
      </c>
      <c r="Q62" s="16"/>
      <c r="R62" s="54"/>
      <c r="S62" s="2">
        <f t="shared" si="31"/>
        <v>0.12068331933261864</v>
      </c>
      <c r="T62" s="2">
        <f t="shared" si="32"/>
        <v>0.1381357257699021</v>
      </c>
      <c r="U62" s="2">
        <f t="shared" si="33"/>
        <v>0.9828867607227297</v>
      </c>
      <c r="V62" s="3">
        <f t="shared" si="34"/>
        <v>48.857667375545525</v>
      </c>
      <c r="W62" s="4">
        <f t="shared" si="35"/>
        <v>79.42894908769492</v>
      </c>
      <c r="X62" s="5">
        <f t="shared" si="51"/>
        <v>228.85766737554553</v>
      </c>
      <c r="Y62" s="3">
        <f t="shared" si="36"/>
        <v>138.85766737554553</v>
      </c>
      <c r="Z62" s="6">
        <f t="shared" si="37"/>
        <v>10.571050912305083</v>
      </c>
      <c r="AA62" s="7">
        <f t="shared" si="38"/>
        <v>130.65697263678322</v>
      </c>
      <c r="AB62" s="8">
        <f t="shared" si="39"/>
        <v>130.65697263678322</v>
      </c>
      <c r="AC62" s="9">
        <f t="shared" si="40"/>
        <v>-0.6515288845039108</v>
      </c>
      <c r="AD62" s="9">
        <f t="shared" si="41"/>
        <v>0.7457485907638371</v>
      </c>
      <c r="AE62" s="9">
        <f t="shared" si="42"/>
        <v>0.13917310096006566</v>
      </c>
      <c r="AF62" s="10">
        <f t="shared" si="43"/>
        <v>270</v>
      </c>
      <c r="AG62" s="8">
        <f t="shared" si="44"/>
        <v>8.000000000000012</v>
      </c>
      <c r="AH62" s="9">
        <f t="shared" si="45"/>
        <v>-2.7620652040693045E-05</v>
      </c>
      <c r="AI62" s="11"/>
      <c r="AJ62" s="16"/>
      <c r="AK62" s="77"/>
      <c r="AL62" s="78"/>
      <c r="AM62" s="5"/>
      <c r="AN62" s="3"/>
      <c r="AO62" s="6"/>
      <c r="AP62" s="10"/>
      <c r="AQ62" s="7"/>
      <c r="AR62" s="10"/>
      <c r="AS62" s="17"/>
    </row>
    <row r="63" spans="1:45" ht="15">
      <c r="A63" s="11" t="s">
        <v>45</v>
      </c>
      <c r="B63" s="13" t="s">
        <v>46</v>
      </c>
      <c r="C63" s="13">
        <v>4</v>
      </c>
      <c r="D63" s="14">
        <v>2</v>
      </c>
      <c r="E63" s="19" t="s">
        <v>48</v>
      </c>
      <c r="F63" s="13"/>
      <c r="G63" s="45">
        <f>J63*0.63/100+30.889</f>
        <v>31.015</v>
      </c>
      <c r="H63" s="45">
        <f>K63*0.63/100+30.889</f>
        <v>31.015</v>
      </c>
      <c r="I63" s="1">
        <f t="shared" si="30"/>
        <v>31.015</v>
      </c>
      <c r="J63" s="51">
        <v>20</v>
      </c>
      <c r="K63" s="51">
        <v>20</v>
      </c>
      <c r="L63" s="14">
        <f t="shared" si="52"/>
        <v>20</v>
      </c>
      <c r="M63" s="52">
        <v>0</v>
      </c>
      <c r="N63" s="53">
        <v>25</v>
      </c>
      <c r="O63" s="53">
        <v>90</v>
      </c>
      <c r="P63" s="53">
        <v>30</v>
      </c>
      <c r="Q63" s="16"/>
      <c r="R63" s="54"/>
      <c r="S63" s="2">
        <f t="shared" si="31"/>
        <v>-0.36599815077066683</v>
      </c>
      <c r="T63" s="2">
        <f t="shared" si="32"/>
        <v>-0.4531538935183249</v>
      </c>
      <c r="U63" s="2">
        <f t="shared" si="33"/>
        <v>0.7848855672213958</v>
      </c>
      <c r="V63" s="3">
        <f t="shared" si="34"/>
        <v>231.07328001016393</v>
      </c>
      <c r="W63" s="4">
        <f t="shared" si="35"/>
        <v>53.419302931264454</v>
      </c>
      <c r="X63" s="5">
        <f t="shared" si="51"/>
        <v>51.07328001016393</v>
      </c>
      <c r="Y63" s="3">
        <f t="shared" si="36"/>
        <v>321.0732800101639</v>
      </c>
      <c r="Z63" s="6">
        <f t="shared" si="37"/>
        <v>36.580697068735546</v>
      </c>
      <c r="AA63" s="7">
        <f t="shared" si="38"/>
        <v>122.96633806926356</v>
      </c>
      <c r="AB63" s="8">
        <f t="shared" si="39"/>
        <v>122.96633806926356</v>
      </c>
      <c r="AC63" s="9">
        <f t="shared" si="40"/>
        <v>-0.5441462124234565</v>
      </c>
      <c r="AD63" s="9">
        <f t="shared" si="41"/>
        <v>0.6737246466511423</v>
      </c>
      <c r="AE63" s="9">
        <f t="shared" si="42"/>
        <v>0.49999999999999994</v>
      </c>
      <c r="AF63" s="10">
        <f t="shared" si="43"/>
        <v>89.99999999999994</v>
      </c>
      <c r="AG63" s="8">
        <f t="shared" si="44"/>
        <v>29.999999999999996</v>
      </c>
      <c r="AH63" s="9">
        <f t="shared" si="45"/>
        <v>-8.287590983359136E-05</v>
      </c>
      <c r="AI63" s="11"/>
      <c r="AJ63" s="16"/>
      <c r="AK63" s="77">
        <v>162.8</v>
      </c>
      <c r="AL63" s="78">
        <v>17.7</v>
      </c>
      <c r="AM63" s="5">
        <f>IF(AL63&gt;=0,IF(X63&gt;=AK63,X63-AK63,X63-AK63+360),IF((X63-AK63-180)&lt;0,IF(X63-AK63+180&lt;0,X63-AK63+540,X63-AK63+180),X63-AK63-180))</f>
        <v>248.27328001016392</v>
      </c>
      <c r="AN63" s="3">
        <f>IF(AM63-90&lt;0,AM63+270,AM63-90)</f>
        <v>158.27328001016392</v>
      </c>
      <c r="AO63" s="6">
        <f>Z63</f>
        <v>36.580697068735546</v>
      </c>
      <c r="AP63" s="10"/>
      <c r="AQ63" s="7"/>
      <c r="AR63" s="10"/>
      <c r="AS63" s="17"/>
    </row>
    <row r="64" spans="1:45" ht="15">
      <c r="A64" s="11" t="s">
        <v>45</v>
      </c>
      <c r="B64" s="13" t="s">
        <v>46</v>
      </c>
      <c r="C64" s="13">
        <v>4</v>
      </c>
      <c r="D64" s="14">
        <v>2</v>
      </c>
      <c r="E64" s="19" t="s">
        <v>48</v>
      </c>
      <c r="F64" s="13"/>
      <c r="G64" s="45">
        <f>J64*0.63/100+30.889</f>
        <v>31.474899999999998</v>
      </c>
      <c r="H64" s="45">
        <f>K64*0.63/100+30.889</f>
        <v>31.474899999999998</v>
      </c>
      <c r="I64" s="1">
        <f t="shared" si="30"/>
        <v>31.474899999999998</v>
      </c>
      <c r="J64" s="51">
        <v>93</v>
      </c>
      <c r="K64" s="51">
        <v>93</v>
      </c>
      <c r="L64" s="14">
        <f t="shared" si="52"/>
        <v>93</v>
      </c>
      <c r="M64" s="52">
        <v>0</v>
      </c>
      <c r="N64" s="53">
        <v>24</v>
      </c>
      <c r="O64" s="53">
        <v>90</v>
      </c>
      <c r="P64" s="53">
        <v>30</v>
      </c>
      <c r="Q64" s="16"/>
      <c r="R64" s="54"/>
      <c r="S64" s="2">
        <f t="shared" si="31"/>
        <v>-0.35224426555364696</v>
      </c>
      <c r="T64" s="2">
        <f t="shared" si="32"/>
        <v>-0.4567727288213004</v>
      </c>
      <c r="U64" s="2">
        <f t="shared" si="33"/>
        <v>0.7911535738303732</v>
      </c>
      <c r="V64" s="3">
        <f t="shared" si="34"/>
        <v>232.3620742169009</v>
      </c>
      <c r="W64" s="4">
        <f t="shared" si="35"/>
        <v>53.904848583055056</v>
      </c>
      <c r="X64" s="5">
        <f t="shared" si="51"/>
        <v>52.36207421690091</v>
      </c>
      <c r="Y64" s="3">
        <f t="shared" si="36"/>
        <v>322.3620742169009</v>
      </c>
      <c r="Z64" s="6">
        <f t="shared" si="37"/>
        <v>36.095151416944944</v>
      </c>
      <c r="AA64" s="7">
        <f t="shared" si="38"/>
        <v>121.92814292777373</v>
      </c>
      <c r="AB64" s="8">
        <f t="shared" si="39"/>
        <v>121.92814292777373</v>
      </c>
      <c r="AC64" s="9">
        <f t="shared" si="40"/>
        <v>-0.528855274603665</v>
      </c>
      <c r="AD64" s="9">
        <f t="shared" si="41"/>
        <v>0.6857930435079391</v>
      </c>
      <c r="AE64" s="9">
        <f t="shared" si="42"/>
        <v>0.49999999999999994</v>
      </c>
      <c r="AF64" s="10">
        <f t="shared" si="43"/>
        <v>90</v>
      </c>
      <c r="AG64" s="8">
        <f t="shared" si="44"/>
        <v>29.999999999999996</v>
      </c>
      <c r="AH64" s="9">
        <f t="shared" si="45"/>
        <v>-8.054709848546589E-05</v>
      </c>
      <c r="AI64" s="11"/>
      <c r="AJ64" s="16"/>
      <c r="AK64" s="77">
        <v>162.8</v>
      </c>
      <c r="AL64" s="78">
        <v>17.7</v>
      </c>
      <c r="AM64" s="5">
        <f>IF(AL64&gt;=0,IF(X64&gt;=AK64,X64-AK64,X64-AK64+360),IF((X64-AK64-180)&lt;0,IF(X64-AK64+180&lt;0,X64-AK64+540,X64-AK64+180),X64-AK64-180))</f>
        <v>249.5620742169009</v>
      </c>
      <c r="AN64" s="3">
        <f>IF(AM64-90&lt;0,AM64+270,AM64-90)</f>
        <v>159.5620742169009</v>
      </c>
      <c r="AO64" s="6">
        <f>Z64</f>
        <v>36.095151416944944</v>
      </c>
      <c r="AP64" s="10"/>
      <c r="AQ64" s="7"/>
      <c r="AR64" s="10"/>
      <c r="AS64" s="17"/>
    </row>
    <row r="65" spans="1:45" ht="15">
      <c r="A65" s="11" t="s">
        <v>45</v>
      </c>
      <c r="B65" s="13" t="s">
        <v>46</v>
      </c>
      <c r="C65" s="13">
        <v>4</v>
      </c>
      <c r="D65" s="14">
        <v>4</v>
      </c>
      <c r="E65" s="19" t="s">
        <v>48</v>
      </c>
      <c r="F65" s="13"/>
      <c r="G65" s="45">
        <f>J65*0.63/100+31.903</f>
        <v>32.129799999999996</v>
      </c>
      <c r="H65" s="45">
        <f>K65*0.63/100+31.903</f>
        <v>32.129799999999996</v>
      </c>
      <c r="I65" s="1">
        <f t="shared" si="30"/>
        <v>32.129799999999996</v>
      </c>
      <c r="J65" s="51">
        <v>36</v>
      </c>
      <c r="K65" s="51">
        <v>36</v>
      </c>
      <c r="L65" s="14">
        <f t="shared" si="52"/>
        <v>36</v>
      </c>
      <c r="M65" s="52">
        <v>0</v>
      </c>
      <c r="N65" s="53">
        <v>14</v>
      </c>
      <c r="O65" s="53">
        <v>90</v>
      </c>
      <c r="P65" s="53">
        <v>25</v>
      </c>
      <c r="Q65" s="16"/>
      <c r="R65" s="54"/>
      <c r="S65" s="2">
        <f t="shared" si="31"/>
        <v>-0.2192556978366463</v>
      </c>
      <c r="T65" s="2">
        <f t="shared" si="32"/>
        <v>-0.4100646932131911</v>
      </c>
      <c r="U65" s="2">
        <f t="shared" si="33"/>
        <v>0.8793865724523174</v>
      </c>
      <c r="V65" s="3">
        <f t="shared" si="34"/>
        <v>241.86722455350358</v>
      </c>
      <c r="W65" s="4">
        <f t="shared" si="35"/>
        <v>62.131051979885385</v>
      </c>
      <c r="X65" s="5">
        <f t="shared" si="51"/>
        <v>61.867224553503576</v>
      </c>
      <c r="Y65" s="3">
        <f t="shared" si="36"/>
        <v>331.86722455350355</v>
      </c>
      <c r="Z65" s="6">
        <f t="shared" si="37"/>
        <v>27.868948020114615</v>
      </c>
      <c r="AA65" s="7">
        <f t="shared" si="38"/>
        <v>115.29880449002735</v>
      </c>
      <c r="AB65" s="8">
        <f t="shared" si="39"/>
        <v>115.29880449002735</v>
      </c>
      <c r="AC65" s="9">
        <f t="shared" si="40"/>
        <v>-0.4273389990826389</v>
      </c>
      <c r="AD65" s="9">
        <f t="shared" si="41"/>
        <v>0.7992341238375136</v>
      </c>
      <c r="AE65" s="9">
        <f t="shared" si="42"/>
        <v>0.42261826174069933</v>
      </c>
      <c r="AF65" s="10">
        <f t="shared" si="43"/>
        <v>89.99999999999994</v>
      </c>
      <c r="AG65" s="8">
        <f t="shared" si="44"/>
        <v>24.999999999999993</v>
      </c>
      <c r="AH65" s="9">
        <f t="shared" si="45"/>
        <v>-5.501328243199393E-05</v>
      </c>
      <c r="AI65" s="11"/>
      <c r="AJ65" s="16"/>
      <c r="AK65" s="77"/>
      <c r="AL65" s="78"/>
      <c r="AM65" s="5"/>
      <c r="AN65" s="3"/>
      <c r="AO65" s="6"/>
      <c r="AP65" s="10"/>
      <c r="AQ65" s="7"/>
      <c r="AR65" s="10"/>
      <c r="AS65" s="17"/>
    </row>
    <row r="66" spans="1:45" ht="15">
      <c r="A66" s="11" t="s">
        <v>45</v>
      </c>
      <c r="B66" s="13" t="s">
        <v>46</v>
      </c>
      <c r="C66" s="13">
        <v>4</v>
      </c>
      <c r="D66" s="14">
        <v>5</v>
      </c>
      <c r="E66" s="19" t="s">
        <v>48</v>
      </c>
      <c r="F66" s="13"/>
      <c r="G66" s="45">
        <f>J66*0.63/100+32.802</f>
        <v>32.8902</v>
      </c>
      <c r="H66" s="45">
        <f>K66*0.63/100+32.802</f>
        <v>32.8902</v>
      </c>
      <c r="I66" s="1">
        <f t="shared" si="30"/>
        <v>32.8902</v>
      </c>
      <c r="J66" s="51">
        <v>14</v>
      </c>
      <c r="K66" s="51">
        <v>14</v>
      </c>
      <c r="L66" s="14">
        <f t="shared" si="52"/>
        <v>14</v>
      </c>
      <c r="M66" s="52">
        <v>0</v>
      </c>
      <c r="N66" s="53">
        <v>0</v>
      </c>
      <c r="O66" s="53">
        <v>90</v>
      </c>
      <c r="P66" s="53">
        <v>21</v>
      </c>
      <c r="Q66" s="16"/>
      <c r="R66" s="54"/>
      <c r="S66" s="2">
        <f t="shared" si="31"/>
        <v>0</v>
      </c>
      <c r="T66" s="2">
        <f t="shared" si="32"/>
        <v>-0.35836794954530027</v>
      </c>
      <c r="U66" s="2">
        <f t="shared" si="33"/>
        <v>0.9335804264972017</v>
      </c>
      <c r="V66" s="3">
        <f t="shared" si="34"/>
        <v>270</v>
      </c>
      <c r="W66" s="4">
        <f t="shared" si="35"/>
        <v>68.99999999999999</v>
      </c>
      <c r="X66" s="5">
        <f t="shared" si="51"/>
        <v>90</v>
      </c>
      <c r="Y66" s="3">
        <f t="shared" si="36"/>
        <v>0</v>
      </c>
      <c r="Z66" s="6">
        <f t="shared" si="37"/>
        <v>21.000000000000014</v>
      </c>
      <c r="AA66" s="7">
        <f t="shared" si="38"/>
        <v>90</v>
      </c>
      <c r="AB66" s="8">
        <f t="shared" si="39"/>
        <v>90</v>
      </c>
      <c r="AC66" s="9">
        <f t="shared" si="40"/>
        <v>6.1257422745431E-17</v>
      </c>
      <c r="AD66" s="9">
        <f t="shared" si="41"/>
        <v>0.9335804264972016</v>
      </c>
      <c r="AE66" s="9">
        <f t="shared" si="42"/>
        <v>0.3583679495453005</v>
      </c>
      <c r="AF66" s="10">
        <f t="shared" si="43"/>
        <v>90</v>
      </c>
      <c r="AG66" s="8">
        <f t="shared" si="44"/>
        <v>21.000000000000014</v>
      </c>
      <c r="AH66" s="9">
        <f t="shared" si="45"/>
        <v>6.6871303108216174E-21</v>
      </c>
      <c r="AI66" s="11"/>
      <c r="AJ66" s="16"/>
      <c r="AK66" s="77"/>
      <c r="AL66" s="78"/>
      <c r="AM66" s="5"/>
      <c r="AN66" s="3"/>
      <c r="AO66" s="6"/>
      <c r="AP66" s="10"/>
      <c r="AQ66" s="7"/>
      <c r="AR66" s="10"/>
      <c r="AS66" s="17"/>
    </row>
    <row r="67" spans="1:45" ht="15">
      <c r="A67" s="11" t="s">
        <v>45</v>
      </c>
      <c r="B67" s="13" t="s">
        <v>46</v>
      </c>
      <c r="C67" s="13">
        <v>4</v>
      </c>
      <c r="D67" s="14">
        <v>5</v>
      </c>
      <c r="E67" s="19" t="s">
        <v>48</v>
      </c>
      <c r="F67" s="13"/>
      <c r="G67" s="45">
        <f>J67*0.63/100+32.802</f>
        <v>33.5706</v>
      </c>
      <c r="H67" s="45">
        <f>K67*0.63/100+32.802</f>
        <v>33.5706</v>
      </c>
      <c r="I67" s="1">
        <f aca="true" t="shared" si="55" ref="I67:I98">(G67+H67)/2</f>
        <v>33.5706</v>
      </c>
      <c r="J67" s="51">
        <v>122</v>
      </c>
      <c r="K67" s="51">
        <v>122</v>
      </c>
      <c r="L67" s="14">
        <v>90</v>
      </c>
      <c r="M67" s="52">
        <v>0</v>
      </c>
      <c r="N67" s="53">
        <v>0</v>
      </c>
      <c r="O67" s="53">
        <v>90</v>
      </c>
      <c r="P67" s="53">
        <v>19</v>
      </c>
      <c r="Q67" s="16"/>
      <c r="R67" s="54"/>
      <c r="S67" s="2">
        <f aca="true" t="shared" si="56" ref="S67:S98">COS(N67*PI()/180)*SIN(M67*PI()/180)*(SIN(P67*PI()/180))-(COS(P67*PI()/180)*SIN(O67*PI()/180))*(SIN(N67*PI()/180))</f>
        <v>0</v>
      </c>
      <c r="T67" s="2">
        <f aca="true" t="shared" si="57" ref="T67:T98">(SIN(N67*PI()/180))*(COS(P67*PI()/180)*COS(O67*PI()/180))-(SIN(P67*PI()/180))*(COS(N67*PI()/180)*COS(M67*PI()/180))</f>
        <v>-0.32556815445715664</v>
      </c>
      <c r="U67" s="2">
        <f aca="true" t="shared" si="58" ref="U67:U98">(COS(N67*PI()/180)*COS(M67*PI()/180))*(COS(P67*PI()/180)*SIN(O67*PI()/180))-(COS(N67*PI()/180)*SIN(M67*PI()/180))*(COS(P67*PI()/180)*COS(O67*PI()/180))</f>
        <v>0.9455185755993168</v>
      </c>
      <c r="V67" s="3">
        <f aca="true" t="shared" si="59" ref="V67:V98">IF(S67=0,IF(T67&gt;=0,90,270),IF(S67&gt;0,IF(T67&gt;=0,ATAN(T67/S67)*180/PI(),ATAN(T67/S67)*180/PI()+360),ATAN(T67/S67)*180/PI()+180))</f>
        <v>270</v>
      </c>
      <c r="W67" s="4">
        <f aca="true" t="shared" si="60" ref="W67:W98">ASIN(U67/SQRT(S67^2+T67^2+U67^2))*180/PI()</f>
        <v>71.00000000000001</v>
      </c>
      <c r="X67" s="5">
        <f t="shared" si="51"/>
        <v>90</v>
      </c>
      <c r="Y67" s="3">
        <f aca="true" t="shared" si="61" ref="Y67:Y98">IF(X67-90&lt;0,X67+270,X67-90)</f>
        <v>0</v>
      </c>
      <c r="Z67" s="6">
        <f aca="true" t="shared" si="62" ref="Z67:Z98">IF(U67&lt;0,90+W67,90-W67)</f>
        <v>18.999999999999986</v>
      </c>
      <c r="AA67" s="7">
        <f aca="true" t="shared" si="63" ref="AA67:AA98">IF(-T67&lt;0,180-ACOS(SIN((X67-90)*PI()/180)*U67/SQRT(T67^2+U67^2))*180/PI(),ACOS(SIN((X67-90)*PI()/180)*U67/SQRT(T67^2+U67^2))*180/PI())</f>
        <v>90</v>
      </c>
      <c r="AB67" s="8">
        <f aca="true" t="shared" si="64" ref="AB67:AB98">IF(R67=90,IF(AA67-Q67&lt;0,AA67-Q67+180,AA67-Q67),IF(AA67+Q67&gt;180,AA67+Q67-180,AA67+Q67))</f>
        <v>90</v>
      </c>
      <c r="AC67" s="9">
        <f aca="true" t="shared" si="65" ref="AC67:AC98">COS(AB67*PI()/180)</f>
        <v>6.1257422745431E-17</v>
      </c>
      <c r="AD67" s="9">
        <f aca="true" t="shared" si="66" ref="AD67:AD98">SIN(AB67*PI()/180)*COS(Z67*PI()/180)</f>
        <v>0.9455185755993168</v>
      </c>
      <c r="AE67" s="9">
        <f aca="true" t="shared" si="67" ref="AE67:AE98">SIN(AB67*PI()/180)*SIN(Z67*PI()/180)</f>
        <v>0.3255681544571564</v>
      </c>
      <c r="AF67" s="10">
        <f aca="true" t="shared" si="68" ref="AF67:AF98">IF(IF(AC67=0,IF(AD67&gt;=0,90,270),IF(AC67&gt;0,IF(AD67&gt;=0,ATAN(AD67/AC67)*180/PI(),ATAN(AD67/AC67)*180/PI()+360),ATAN(AD67/AC67)*180/PI()+180))-(360-Y67)&lt;0,IF(AC67=0,IF(AD67&gt;=0,90,270),IF(AC67&gt;0,IF(AD67&gt;=0,ATAN(AD67/AC67)*180/PI(),ATAN(AD67/AC67)*180/PI()+360),ATAN(AD67/AC67)*180/PI()+180))+Y67,IF(AC67=0,IF(AD67&gt;=0,90,270),IF(AC67&gt;0,IF(AD67&gt;=0,ATAN(AD67/AC67)*180/PI(),ATAN(AD67/AC67)*180/PI()+360),ATAN(AD67/AC67)*180/PI()+180))-(360-Y67))</f>
        <v>90</v>
      </c>
      <c r="AG67" s="8">
        <f aca="true" t="shared" si="69" ref="AG67:AG98">ASIN(AE67/SQRT(AC67^2+AD67^2+AE67^2))*180/PI()</f>
        <v>18.99999999999999</v>
      </c>
      <c r="AH67" s="9">
        <f aca="true" t="shared" si="70" ref="AH67:AH98">SIN(AE67*PI()/180)*SIN(AC67*PI()/180)</f>
        <v>6.075094483819026E-21</v>
      </c>
      <c r="AI67" s="11"/>
      <c r="AJ67" s="16"/>
      <c r="AK67" s="77"/>
      <c r="AL67" s="78"/>
      <c r="AM67" s="5"/>
      <c r="AN67" s="3"/>
      <c r="AO67" s="6"/>
      <c r="AP67" s="10"/>
      <c r="AQ67" s="7"/>
      <c r="AR67" s="10"/>
      <c r="AS67" s="17"/>
    </row>
    <row r="68" spans="1:45" ht="15">
      <c r="A68" s="11" t="s">
        <v>45</v>
      </c>
      <c r="B68" s="13" t="s">
        <v>46</v>
      </c>
      <c r="C68" s="13">
        <v>4</v>
      </c>
      <c r="D68" s="14">
        <v>6</v>
      </c>
      <c r="E68" s="19" t="s">
        <v>48</v>
      </c>
      <c r="F68" s="13"/>
      <c r="G68" s="45">
        <f>J68*0.63/100+33.703</f>
        <v>33.9172</v>
      </c>
      <c r="H68" s="45">
        <f>K68*0.63/100+33.703</f>
        <v>33.923500000000004</v>
      </c>
      <c r="I68" s="1">
        <f t="shared" si="55"/>
        <v>33.92035</v>
      </c>
      <c r="J68" s="51">
        <v>34</v>
      </c>
      <c r="K68" s="51">
        <v>35</v>
      </c>
      <c r="L68" s="14">
        <f aca="true" t="shared" si="71" ref="L68:L89">(+J68+K68)/2</f>
        <v>34.5</v>
      </c>
      <c r="M68" s="52">
        <v>0</v>
      </c>
      <c r="N68" s="53">
        <v>0</v>
      </c>
      <c r="O68" s="53">
        <v>90</v>
      </c>
      <c r="P68" s="53">
        <v>14</v>
      </c>
      <c r="Q68" s="16"/>
      <c r="R68" s="54"/>
      <c r="S68" s="2">
        <f t="shared" si="56"/>
        <v>0</v>
      </c>
      <c r="T68" s="2">
        <f t="shared" si="57"/>
        <v>-0.24192189559966773</v>
      </c>
      <c r="U68" s="2">
        <f t="shared" si="58"/>
        <v>0.9702957262759965</v>
      </c>
      <c r="V68" s="3">
        <f t="shared" si="59"/>
        <v>270</v>
      </c>
      <c r="W68" s="4">
        <f t="shared" si="60"/>
        <v>76</v>
      </c>
      <c r="X68" s="5">
        <f t="shared" si="51"/>
        <v>90</v>
      </c>
      <c r="Y68" s="3">
        <f t="shared" si="61"/>
        <v>0</v>
      </c>
      <c r="Z68" s="6">
        <f t="shared" si="62"/>
        <v>14</v>
      </c>
      <c r="AA68" s="7">
        <f t="shared" si="63"/>
        <v>90</v>
      </c>
      <c r="AB68" s="8">
        <f t="shared" si="64"/>
        <v>90</v>
      </c>
      <c r="AC68" s="9">
        <f t="shared" si="65"/>
        <v>6.1257422745431E-17</v>
      </c>
      <c r="AD68" s="9">
        <f t="shared" si="66"/>
        <v>0.9702957262759965</v>
      </c>
      <c r="AE68" s="9">
        <f t="shared" si="67"/>
        <v>0.24192189559966773</v>
      </c>
      <c r="AF68" s="10">
        <f t="shared" si="68"/>
        <v>90</v>
      </c>
      <c r="AG68" s="8">
        <f t="shared" si="69"/>
        <v>14</v>
      </c>
      <c r="AH68" s="9">
        <f t="shared" si="70"/>
        <v>4.51426804269215E-21</v>
      </c>
      <c r="AI68" s="11"/>
      <c r="AJ68" s="16"/>
      <c r="AK68" s="77">
        <v>235.1</v>
      </c>
      <c r="AL68" s="78">
        <v>61.7</v>
      </c>
      <c r="AM68" s="5">
        <f>IF(AL68&gt;=0,IF(X68&gt;=AK68,X68-AK68,X68-AK68+360),IF((X68-AK68-180)&lt;0,IF(X68-AK68+180&lt;0,X68-AK68+540,X68-AK68+180),X68-AK68-180))</f>
        <v>214.9</v>
      </c>
      <c r="AN68" s="3">
        <f>IF(AM68-90&lt;0,AM68+270,AM68-90)</f>
        <v>124.9</v>
      </c>
      <c r="AO68" s="6">
        <f>Z68</f>
        <v>14</v>
      </c>
      <c r="AP68" s="10"/>
      <c r="AQ68" s="7"/>
      <c r="AR68" s="10"/>
      <c r="AS68" s="17"/>
    </row>
    <row r="69" spans="1:45" ht="15">
      <c r="A69" s="11" t="s">
        <v>45</v>
      </c>
      <c r="B69" s="13" t="s">
        <v>46</v>
      </c>
      <c r="C69" s="13">
        <v>4</v>
      </c>
      <c r="D69" s="14">
        <v>6</v>
      </c>
      <c r="E69" s="19" t="s">
        <v>48</v>
      </c>
      <c r="F69" s="13"/>
      <c r="G69" s="45">
        <f>J69*0.63/100+33.703</f>
        <v>34.112500000000004</v>
      </c>
      <c r="H69" s="45">
        <f>K69*0.63/100+33.703</f>
        <v>34.131400000000006</v>
      </c>
      <c r="I69" s="1">
        <f t="shared" si="55"/>
        <v>34.121950000000005</v>
      </c>
      <c r="J69" s="51">
        <v>65</v>
      </c>
      <c r="K69" s="51">
        <v>68</v>
      </c>
      <c r="L69" s="14">
        <f t="shared" si="71"/>
        <v>66.5</v>
      </c>
      <c r="M69" s="52">
        <v>0</v>
      </c>
      <c r="N69" s="53">
        <v>9</v>
      </c>
      <c r="O69" s="53">
        <v>90</v>
      </c>
      <c r="P69" s="53">
        <v>17</v>
      </c>
      <c r="Q69" s="16"/>
      <c r="R69" s="54"/>
      <c r="S69" s="2">
        <f t="shared" si="56"/>
        <v>-0.14959902291450597</v>
      </c>
      <c r="T69" s="2">
        <f t="shared" si="57"/>
        <v>-0.28877212387457146</v>
      </c>
      <c r="U69" s="2">
        <f t="shared" si="58"/>
        <v>0.9445310575203687</v>
      </c>
      <c r="V69" s="3">
        <f t="shared" si="59"/>
        <v>242.61348705778462</v>
      </c>
      <c r="W69" s="4">
        <f t="shared" si="60"/>
        <v>71.00034399684989</v>
      </c>
      <c r="X69" s="5">
        <f t="shared" si="51"/>
        <v>62.613487057784624</v>
      </c>
      <c r="Y69" s="3">
        <f t="shared" si="61"/>
        <v>332.6134870577846</v>
      </c>
      <c r="Z69" s="6">
        <f t="shared" si="62"/>
        <v>18.999656003150108</v>
      </c>
      <c r="AA69" s="7">
        <f t="shared" si="63"/>
        <v>116.09695072836898</v>
      </c>
      <c r="AB69" s="8">
        <f t="shared" si="64"/>
        <v>116.09695072836898</v>
      </c>
      <c r="AC69" s="9">
        <f t="shared" si="65"/>
        <v>-0.43989137635821496</v>
      </c>
      <c r="AD69" s="9">
        <f t="shared" si="66"/>
        <v>0.8491256463464028</v>
      </c>
      <c r="AE69" s="9">
        <f t="shared" si="67"/>
        <v>0.29237170472273666</v>
      </c>
      <c r="AF69" s="10">
        <f t="shared" si="68"/>
        <v>89.99999999999997</v>
      </c>
      <c r="AG69" s="8">
        <f t="shared" si="69"/>
        <v>16.999999999999993</v>
      </c>
      <c r="AH69" s="9">
        <f t="shared" si="70"/>
        <v>-3.917683720613276E-05</v>
      </c>
      <c r="AI69" s="11"/>
      <c r="AJ69" s="16"/>
      <c r="AK69" s="77">
        <v>235.1</v>
      </c>
      <c r="AL69" s="78">
        <v>61.7</v>
      </c>
      <c r="AM69" s="5">
        <f>IF(AL69&gt;=0,IF(X69&gt;=AK69,X69-AK69,X69-AK69+360),IF((X69-AK69-180)&lt;0,IF(X69-AK69+180&lt;0,X69-AK69+540,X69-AK69+180),X69-AK69-180))</f>
        <v>187.51348705778463</v>
      </c>
      <c r="AN69" s="3">
        <f>IF(AM69-90&lt;0,AM69+270,AM69-90)</f>
        <v>97.51348705778463</v>
      </c>
      <c r="AO69" s="6">
        <f>Z69</f>
        <v>18.999656003150108</v>
      </c>
      <c r="AP69" s="10"/>
      <c r="AQ69" s="7"/>
      <c r="AR69" s="10"/>
      <c r="AS69" s="17"/>
    </row>
    <row r="70" spans="1:45" ht="15">
      <c r="A70" s="11" t="s">
        <v>45</v>
      </c>
      <c r="B70" s="13" t="s">
        <v>46</v>
      </c>
      <c r="C70" s="13">
        <v>5</v>
      </c>
      <c r="D70" s="14">
        <v>1</v>
      </c>
      <c r="E70" s="19" t="s">
        <v>48</v>
      </c>
      <c r="F70" s="13"/>
      <c r="G70" s="45">
        <f aca="true" t="shared" si="72" ref="G70:H72">J70*1/100+36</f>
        <v>36.1</v>
      </c>
      <c r="H70" s="45">
        <f t="shared" si="72"/>
        <v>36.1</v>
      </c>
      <c r="I70" s="1">
        <f t="shared" si="55"/>
        <v>36.1</v>
      </c>
      <c r="J70" s="51">
        <v>10</v>
      </c>
      <c r="K70" s="51">
        <v>10</v>
      </c>
      <c r="L70" s="14">
        <f t="shared" si="71"/>
        <v>10</v>
      </c>
      <c r="M70" s="52">
        <v>0</v>
      </c>
      <c r="N70" s="53">
        <v>4</v>
      </c>
      <c r="O70" s="53">
        <v>90</v>
      </c>
      <c r="P70" s="53">
        <v>22</v>
      </c>
      <c r="Q70" s="16"/>
      <c r="R70" s="54"/>
      <c r="S70" s="2">
        <f t="shared" si="56"/>
        <v>-0.064677076207065</v>
      </c>
      <c r="T70" s="2">
        <f t="shared" si="57"/>
        <v>-0.37369407058201237</v>
      </c>
      <c r="U70" s="2">
        <f t="shared" si="58"/>
        <v>0.9249252812971602</v>
      </c>
      <c r="V70" s="3">
        <f t="shared" si="59"/>
        <v>260.1808100711869</v>
      </c>
      <c r="W70" s="4">
        <f t="shared" si="60"/>
        <v>67.70475882860106</v>
      </c>
      <c r="X70" s="5">
        <f t="shared" si="51"/>
        <v>80.1808100711869</v>
      </c>
      <c r="Y70" s="3">
        <f t="shared" si="61"/>
        <v>350.1808100711869</v>
      </c>
      <c r="Z70" s="6">
        <f t="shared" si="62"/>
        <v>22.295241171398942</v>
      </c>
      <c r="AA70" s="7">
        <f t="shared" si="63"/>
        <v>99.09787806717941</v>
      </c>
      <c r="AB70" s="8">
        <f t="shared" si="64"/>
        <v>99.09787806717941</v>
      </c>
      <c r="AC70" s="9">
        <f t="shared" si="65"/>
        <v>-0.15812149855787413</v>
      </c>
      <c r="AD70" s="9">
        <f t="shared" si="66"/>
        <v>0.9136013856508415</v>
      </c>
      <c r="AE70" s="9">
        <f t="shared" si="67"/>
        <v>0.37460659341591207</v>
      </c>
      <c r="AF70" s="10">
        <f t="shared" si="68"/>
        <v>90</v>
      </c>
      <c r="AG70" s="8">
        <f t="shared" si="69"/>
        <v>22.000000000000007</v>
      </c>
      <c r="AH70" s="9">
        <f t="shared" si="70"/>
        <v>-1.8043360591562655E-05</v>
      </c>
      <c r="AI70" s="11"/>
      <c r="AJ70" s="16"/>
      <c r="AK70" s="77"/>
      <c r="AL70" s="78"/>
      <c r="AM70" s="5"/>
      <c r="AN70" s="3"/>
      <c r="AO70" s="6"/>
      <c r="AP70" s="10"/>
      <c r="AQ70" s="7"/>
      <c r="AR70" s="10"/>
      <c r="AS70" s="17"/>
    </row>
    <row r="71" spans="1:45" ht="15">
      <c r="A71" s="11" t="s">
        <v>45</v>
      </c>
      <c r="B71" s="13" t="s">
        <v>46</v>
      </c>
      <c r="C71" s="13">
        <v>5</v>
      </c>
      <c r="D71" s="14">
        <v>1</v>
      </c>
      <c r="E71" s="19" t="s">
        <v>48</v>
      </c>
      <c r="F71" s="13"/>
      <c r="G71" s="45">
        <f t="shared" si="72"/>
        <v>36.75</v>
      </c>
      <c r="H71" s="45">
        <f t="shared" si="72"/>
        <v>36.75</v>
      </c>
      <c r="I71" s="1">
        <f t="shared" si="55"/>
        <v>36.75</v>
      </c>
      <c r="J71" s="51">
        <v>75</v>
      </c>
      <c r="K71" s="51">
        <v>75</v>
      </c>
      <c r="L71" s="14">
        <f t="shared" si="71"/>
        <v>75</v>
      </c>
      <c r="M71" s="52">
        <v>0</v>
      </c>
      <c r="N71" s="53">
        <v>6</v>
      </c>
      <c r="O71" s="53">
        <v>90</v>
      </c>
      <c r="P71" s="53">
        <v>9</v>
      </c>
      <c r="Q71" s="16"/>
      <c r="R71" s="54"/>
      <c r="S71" s="2">
        <f t="shared" si="56"/>
        <v>-0.10324154442978846</v>
      </c>
      <c r="T71" s="2">
        <f t="shared" si="57"/>
        <v>-0.1555775006727323</v>
      </c>
      <c r="U71" s="2">
        <f t="shared" si="58"/>
        <v>0.9822776805218211</v>
      </c>
      <c r="V71" s="3">
        <f t="shared" si="59"/>
        <v>236.43166751782314</v>
      </c>
      <c r="W71" s="4">
        <f t="shared" si="60"/>
        <v>79.2372999506294</v>
      </c>
      <c r="X71" s="5">
        <f t="shared" si="51"/>
        <v>56.43166751782314</v>
      </c>
      <c r="Y71" s="3">
        <f t="shared" si="61"/>
        <v>326.43166751782314</v>
      </c>
      <c r="Z71" s="6">
        <f t="shared" si="62"/>
        <v>10.762700049370594</v>
      </c>
      <c r="AA71" s="7">
        <f t="shared" si="63"/>
        <v>123.10148053529892</v>
      </c>
      <c r="AB71" s="8">
        <f t="shared" si="64"/>
        <v>123.10148053529892</v>
      </c>
      <c r="AC71" s="9">
        <f t="shared" si="65"/>
        <v>-0.5461236076644044</v>
      </c>
      <c r="AD71" s="9">
        <f t="shared" si="66"/>
        <v>0.8229685676252724</v>
      </c>
      <c r="AE71" s="9">
        <f t="shared" si="67"/>
        <v>0.15643446504023048</v>
      </c>
      <c r="AF71" s="10">
        <f t="shared" si="68"/>
        <v>89.99999999999999</v>
      </c>
      <c r="AG71" s="8">
        <f t="shared" si="69"/>
        <v>8.999999999999977</v>
      </c>
      <c r="AH71" s="9">
        <f t="shared" si="70"/>
        <v>-2.6023817898614827E-05</v>
      </c>
      <c r="AI71" s="11"/>
      <c r="AJ71" s="16"/>
      <c r="AK71" s="77"/>
      <c r="AL71" s="78"/>
      <c r="AM71" s="5"/>
      <c r="AN71" s="3"/>
      <c r="AO71" s="6"/>
      <c r="AP71" s="10"/>
      <c r="AQ71" s="7"/>
      <c r="AR71" s="10"/>
      <c r="AS71" s="17"/>
    </row>
    <row r="72" spans="1:45" ht="15">
      <c r="A72" s="11" t="s">
        <v>45</v>
      </c>
      <c r="B72" s="13" t="s">
        <v>46</v>
      </c>
      <c r="C72" s="13">
        <v>5</v>
      </c>
      <c r="D72" s="14">
        <v>1</v>
      </c>
      <c r="E72" s="19" t="s">
        <v>48</v>
      </c>
      <c r="F72" s="13"/>
      <c r="G72" s="45">
        <f t="shared" si="72"/>
        <v>37.25</v>
      </c>
      <c r="H72" s="45">
        <f t="shared" si="72"/>
        <v>37.25</v>
      </c>
      <c r="I72" s="1">
        <f t="shared" si="55"/>
        <v>37.25</v>
      </c>
      <c r="J72" s="51">
        <v>125</v>
      </c>
      <c r="K72" s="51">
        <v>125</v>
      </c>
      <c r="L72" s="14">
        <f t="shared" si="71"/>
        <v>125</v>
      </c>
      <c r="M72" s="52">
        <v>180</v>
      </c>
      <c r="N72" s="53">
        <v>7</v>
      </c>
      <c r="O72" s="53">
        <v>270</v>
      </c>
      <c r="P72" s="53">
        <v>7</v>
      </c>
      <c r="Q72" s="16"/>
      <c r="R72" s="54"/>
      <c r="S72" s="2">
        <f t="shared" si="56"/>
        <v>0.12096094779983387</v>
      </c>
      <c r="T72" s="2">
        <f t="shared" si="57"/>
        <v>0.12096094779983382</v>
      </c>
      <c r="U72" s="2">
        <f t="shared" si="58"/>
        <v>0.9851478631379982</v>
      </c>
      <c r="V72" s="3">
        <f t="shared" si="59"/>
        <v>44.99999999999999</v>
      </c>
      <c r="W72" s="4">
        <f t="shared" si="60"/>
        <v>80.1491789724212</v>
      </c>
      <c r="X72" s="5">
        <f t="shared" si="51"/>
        <v>225</v>
      </c>
      <c r="Y72" s="3">
        <f t="shared" si="61"/>
        <v>135</v>
      </c>
      <c r="Z72" s="6">
        <f t="shared" si="62"/>
        <v>9.850821027578803</v>
      </c>
      <c r="AA72" s="7">
        <f t="shared" si="63"/>
        <v>134.5745019764015</v>
      </c>
      <c r="AB72" s="8">
        <f t="shared" si="64"/>
        <v>134.5745019764015</v>
      </c>
      <c r="AC72" s="9">
        <f t="shared" si="65"/>
        <v>-0.7018361144661899</v>
      </c>
      <c r="AD72" s="9">
        <f t="shared" si="66"/>
        <v>0.7018361144661904</v>
      </c>
      <c r="AE72" s="9">
        <f t="shared" si="67"/>
        <v>0.12186934340514724</v>
      </c>
      <c r="AF72" s="10">
        <f t="shared" si="68"/>
        <v>270</v>
      </c>
      <c r="AG72" s="8">
        <f t="shared" si="69"/>
        <v>6.999999999999987</v>
      </c>
      <c r="AH72" s="9">
        <f t="shared" si="70"/>
        <v>-2.605395928971867E-05</v>
      </c>
      <c r="AI72" s="11"/>
      <c r="AJ72" s="16"/>
      <c r="AK72" s="77"/>
      <c r="AL72" s="78"/>
      <c r="AM72" s="5"/>
      <c r="AN72" s="3"/>
      <c r="AO72" s="6"/>
      <c r="AP72" s="10"/>
      <c r="AQ72" s="7"/>
      <c r="AR72" s="10"/>
      <c r="AS72" s="17"/>
    </row>
    <row r="73" spans="1:45" ht="15">
      <c r="A73" s="11" t="s">
        <v>45</v>
      </c>
      <c r="B73" s="13" t="s">
        <v>46</v>
      </c>
      <c r="C73" s="13">
        <v>5</v>
      </c>
      <c r="D73" s="14">
        <v>2</v>
      </c>
      <c r="E73" s="19" t="s">
        <v>48</v>
      </c>
      <c r="F73" s="13"/>
      <c r="G73" s="45">
        <f>J73*1/100+37.4</f>
        <v>37.72</v>
      </c>
      <c r="H73" s="45">
        <f>K73*1/100+37.4</f>
        <v>37.72</v>
      </c>
      <c r="I73" s="1">
        <f t="shared" si="55"/>
        <v>37.72</v>
      </c>
      <c r="J73" s="51">
        <v>32</v>
      </c>
      <c r="K73" s="51">
        <v>32</v>
      </c>
      <c r="L73" s="14">
        <f t="shared" si="71"/>
        <v>32</v>
      </c>
      <c r="M73" s="52">
        <v>180</v>
      </c>
      <c r="N73" s="53">
        <v>15</v>
      </c>
      <c r="O73" s="53">
        <v>270</v>
      </c>
      <c r="P73" s="53">
        <v>4</v>
      </c>
      <c r="Q73" s="16"/>
      <c r="R73" s="54"/>
      <c r="S73" s="2">
        <f t="shared" si="56"/>
        <v>0.2581885749168507</v>
      </c>
      <c r="T73" s="2">
        <f t="shared" si="57"/>
        <v>0.06737957954030589</v>
      </c>
      <c r="U73" s="2">
        <f t="shared" si="58"/>
        <v>0.9635728795234904</v>
      </c>
      <c r="V73" s="3">
        <f t="shared" si="59"/>
        <v>14.626283948673407</v>
      </c>
      <c r="W73" s="4">
        <f t="shared" si="60"/>
        <v>74.52134855401536</v>
      </c>
      <c r="X73" s="5">
        <f t="shared" si="51"/>
        <v>194.6262839486734</v>
      </c>
      <c r="Y73" s="3">
        <f t="shared" si="61"/>
        <v>104.6262839486734</v>
      </c>
      <c r="Z73" s="6">
        <f t="shared" si="62"/>
        <v>15.478651445984639</v>
      </c>
      <c r="AA73" s="7">
        <f t="shared" si="63"/>
        <v>164.8481354973329</v>
      </c>
      <c r="AB73" s="8">
        <f t="shared" si="64"/>
        <v>164.8481354973329</v>
      </c>
      <c r="AC73" s="9">
        <f t="shared" si="65"/>
        <v>-0.9652364250261403</v>
      </c>
      <c r="AD73" s="9">
        <f t="shared" si="66"/>
        <v>0.25189815039722185</v>
      </c>
      <c r="AE73" s="9">
        <f t="shared" si="67"/>
        <v>0.06975647374412519</v>
      </c>
      <c r="AF73" s="10">
        <f t="shared" si="68"/>
        <v>270</v>
      </c>
      <c r="AG73" s="8">
        <f t="shared" si="69"/>
        <v>3.999999999999994</v>
      </c>
      <c r="AH73" s="9">
        <f t="shared" si="70"/>
        <v>-2.0509369338901144E-05</v>
      </c>
      <c r="AI73" s="11"/>
      <c r="AJ73" s="16"/>
      <c r="AK73" s="77">
        <v>297.5</v>
      </c>
      <c r="AL73" s="78">
        <v>44.9</v>
      </c>
      <c r="AM73" s="5">
        <f>IF(AL73&gt;=0,IF(X73&gt;=AK73,X73-AK73,X73-AK73+360),IF((X73-AK73-180)&lt;0,IF(X73-AK73+180&lt;0,X73-AK73+540,X73-AK73+180),X73-AK73-180))</f>
        <v>257.1262839486734</v>
      </c>
      <c r="AN73" s="3">
        <f>IF(AM73-90&lt;0,AM73+270,AM73-90)</f>
        <v>167.1262839486734</v>
      </c>
      <c r="AO73" s="6">
        <f>Z73</f>
        <v>15.478651445984639</v>
      </c>
      <c r="AP73" s="10"/>
      <c r="AQ73" s="7"/>
      <c r="AR73" s="10"/>
      <c r="AS73" s="17"/>
    </row>
    <row r="74" spans="1:45" ht="15">
      <c r="A74" s="11" t="s">
        <v>45</v>
      </c>
      <c r="B74" s="13" t="s">
        <v>46</v>
      </c>
      <c r="C74" s="13">
        <v>5</v>
      </c>
      <c r="D74" s="14">
        <v>2</v>
      </c>
      <c r="E74" s="19" t="s">
        <v>48</v>
      </c>
      <c r="F74" s="13"/>
      <c r="G74" s="45">
        <f>J74*1/100+37.4</f>
        <v>38.64</v>
      </c>
      <c r="H74" s="45">
        <f>K74*1/100+37.4</f>
        <v>38.64</v>
      </c>
      <c r="I74" s="1">
        <f t="shared" si="55"/>
        <v>38.64</v>
      </c>
      <c r="J74" s="51">
        <v>124</v>
      </c>
      <c r="K74" s="51">
        <v>124</v>
      </c>
      <c r="L74" s="14">
        <f t="shared" si="71"/>
        <v>124</v>
      </c>
      <c r="M74" s="52">
        <v>0</v>
      </c>
      <c r="N74" s="53">
        <v>0</v>
      </c>
      <c r="O74" s="53">
        <v>90</v>
      </c>
      <c r="P74" s="53">
        <v>0</v>
      </c>
      <c r="Q74" s="16"/>
      <c r="R74" s="54"/>
      <c r="S74" s="2">
        <f t="shared" si="56"/>
        <v>0</v>
      </c>
      <c r="T74" s="2">
        <f t="shared" si="57"/>
        <v>0</v>
      </c>
      <c r="U74" s="2">
        <f t="shared" si="58"/>
        <v>1</v>
      </c>
      <c r="V74" s="3">
        <f t="shared" si="59"/>
        <v>90</v>
      </c>
      <c r="W74" s="4">
        <f t="shared" si="60"/>
        <v>90</v>
      </c>
      <c r="X74" s="5">
        <f t="shared" si="51"/>
        <v>270</v>
      </c>
      <c r="Y74" s="3">
        <f t="shared" si="61"/>
        <v>180</v>
      </c>
      <c r="Z74" s="6">
        <f t="shared" si="62"/>
        <v>0</v>
      </c>
      <c r="AA74" s="7">
        <f t="shared" si="63"/>
        <v>89.99999999999999</v>
      </c>
      <c r="AB74" s="8">
        <f t="shared" si="64"/>
        <v>89.99999999999999</v>
      </c>
      <c r="AC74" s="9">
        <f t="shared" si="65"/>
        <v>2.833020276704623E-16</v>
      </c>
      <c r="AD74" s="9">
        <f t="shared" si="66"/>
        <v>1</v>
      </c>
      <c r="AE74" s="9">
        <f t="shared" si="67"/>
        <v>0</v>
      </c>
      <c r="AF74" s="10">
        <f t="shared" si="68"/>
        <v>270</v>
      </c>
      <c r="AG74" s="8">
        <f t="shared" si="69"/>
        <v>0</v>
      </c>
      <c r="AH74" s="9">
        <f t="shared" si="70"/>
        <v>0</v>
      </c>
      <c r="AI74" s="11"/>
      <c r="AJ74" s="16"/>
      <c r="AK74" s="77">
        <v>297.5</v>
      </c>
      <c r="AL74" s="78">
        <v>44.9</v>
      </c>
      <c r="AM74" s="5">
        <f>IF(AL74&gt;=0,IF(X74&gt;=AK74,X74-AK74,X74-AK74+360),IF((X74-AK74-180)&lt;0,IF(X74-AK74+180&lt;0,X74-AK74+540,X74-AK74+180),X74-AK74-180))</f>
        <v>332.5</v>
      </c>
      <c r="AN74" s="3">
        <f>IF(AM74-90&lt;0,AM74+270,AM74-90)</f>
        <v>242.5</v>
      </c>
      <c r="AO74" s="6">
        <f>Z74</f>
        <v>0</v>
      </c>
      <c r="AP74" s="10"/>
      <c r="AQ74" s="7"/>
      <c r="AR74" s="10"/>
      <c r="AS74" s="17"/>
    </row>
    <row r="75" spans="1:45" ht="15">
      <c r="A75" s="11" t="s">
        <v>45</v>
      </c>
      <c r="B75" s="13" t="s">
        <v>46</v>
      </c>
      <c r="C75" s="13">
        <v>5</v>
      </c>
      <c r="D75" s="14">
        <v>3</v>
      </c>
      <c r="E75" s="19" t="s">
        <v>48</v>
      </c>
      <c r="F75" s="13"/>
      <c r="G75" s="45">
        <f>J75*1/100+38.82</f>
        <v>38.95</v>
      </c>
      <c r="H75" s="45">
        <f>K75*1/100+38.82</f>
        <v>38.95</v>
      </c>
      <c r="I75" s="1">
        <f t="shared" si="55"/>
        <v>38.95</v>
      </c>
      <c r="J75" s="51">
        <v>13</v>
      </c>
      <c r="K75" s="51">
        <v>13</v>
      </c>
      <c r="L75" s="14">
        <f t="shared" si="71"/>
        <v>13</v>
      </c>
      <c r="M75" s="52">
        <v>0</v>
      </c>
      <c r="N75" s="53">
        <v>20</v>
      </c>
      <c r="O75" s="53">
        <v>90</v>
      </c>
      <c r="P75" s="53">
        <v>0</v>
      </c>
      <c r="Q75" s="16"/>
      <c r="R75" s="54"/>
      <c r="S75" s="2">
        <f t="shared" si="56"/>
        <v>-0.3420201433256687</v>
      </c>
      <c r="T75" s="2">
        <f t="shared" si="57"/>
        <v>2.095127250715339E-17</v>
      </c>
      <c r="U75" s="2">
        <f t="shared" si="58"/>
        <v>0.9396926207859084</v>
      </c>
      <c r="V75" s="3">
        <f t="shared" si="59"/>
        <v>180</v>
      </c>
      <c r="W75" s="4">
        <f t="shared" si="60"/>
        <v>70</v>
      </c>
      <c r="X75" s="5">
        <f t="shared" si="51"/>
        <v>0</v>
      </c>
      <c r="Y75" s="3">
        <f t="shared" si="61"/>
        <v>270</v>
      </c>
      <c r="Z75" s="6">
        <f t="shared" si="62"/>
        <v>20</v>
      </c>
      <c r="AA75" s="7">
        <f t="shared" si="63"/>
        <v>0</v>
      </c>
      <c r="AB75" s="8">
        <f t="shared" si="64"/>
        <v>0</v>
      </c>
      <c r="AC75" s="9">
        <f t="shared" si="65"/>
        <v>1</v>
      </c>
      <c r="AD75" s="9">
        <f t="shared" si="66"/>
        <v>0</v>
      </c>
      <c r="AE75" s="9">
        <f t="shared" si="67"/>
        <v>0</v>
      </c>
      <c r="AF75" s="10">
        <f t="shared" si="68"/>
        <v>270</v>
      </c>
      <c r="AG75" s="8">
        <f t="shared" si="69"/>
        <v>0</v>
      </c>
      <c r="AH75" s="9">
        <f t="shared" si="70"/>
        <v>0</v>
      </c>
      <c r="AI75" s="11"/>
      <c r="AJ75" s="16"/>
      <c r="AK75" s="77"/>
      <c r="AL75" s="78"/>
      <c r="AM75" s="5"/>
      <c r="AN75" s="3"/>
      <c r="AO75" s="6"/>
      <c r="AP75" s="10"/>
      <c r="AQ75" s="7"/>
      <c r="AR75" s="10"/>
      <c r="AS75" s="17"/>
    </row>
    <row r="76" spans="1:45" ht="15">
      <c r="A76" s="11" t="s">
        <v>45</v>
      </c>
      <c r="B76" s="13" t="s">
        <v>46</v>
      </c>
      <c r="C76" s="13">
        <v>5</v>
      </c>
      <c r="D76" s="14">
        <v>3</v>
      </c>
      <c r="E76" s="19" t="s">
        <v>48</v>
      </c>
      <c r="F76" s="13"/>
      <c r="G76" s="45">
        <f>J76*1/100+38.82</f>
        <v>39.25</v>
      </c>
      <c r="H76" s="45">
        <f>K76*1/100+38.82</f>
        <v>39.25</v>
      </c>
      <c r="I76" s="1">
        <f t="shared" si="55"/>
        <v>39.25</v>
      </c>
      <c r="J76" s="51">
        <v>43</v>
      </c>
      <c r="K76" s="51">
        <v>43</v>
      </c>
      <c r="L76" s="14">
        <f t="shared" si="71"/>
        <v>43</v>
      </c>
      <c r="M76" s="52">
        <v>0</v>
      </c>
      <c r="N76" s="53">
        <v>0</v>
      </c>
      <c r="O76" s="53">
        <v>90</v>
      </c>
      <c r="P76" s="53">
        <v>0</v>
      </c>
      <c r="Q76" s="16"/>
      <c r="R76" s="54"/>
      <c r="S76" s="2">
        <f t="shared" si="56"/>
        <v>0</v>
      </c>
      <c r="T76" s="2">
        <f t="shared" si="57"/>
        <v>0</v>
      </c>
      <c r="U76" s="2">
        <f t="shared" si="58"/>
        <v>1</v>
      </c>
      <c r="V76" s="3">
        <f t="shared" si="59"/>
        <v>90</v>
      </c>
      <c r="W76" s="4">
        <f t="shared" si="60"/>
        <v>90</v>
      </c>
      <c r="X76" s="5">
        <f t="shared" si="51"/>
        <v>270</v>
      </c>
      <c r="Y76" s="3">
        <f t="shared" si="61"/>
        <v>180</v>
      </c>
      <c r="Z76" s="6">
        <f t="shared" si="62"/>
        <v>0</v>
      </c>
      <c r="AA76" s="7">
        <f t="shared" si="63"/>
        <v>89.99999999999999</v>
      </c>
      <c r="AB76" s="8">
        <f t="shared" si="64"/>
        <v>89.99999999999999</v>
      </c>
      <c r="AC76" s="9">
        <f t="shared" si="65"/>
        <v>2.833020276704623E-16</v>
      </c>
      <c r="AD76" s="9">
        <f t="shared" si="66"/>
        <v>1</v>
      </c>
      <c r="AE76" s="9">
        <f t="shared" si="67"/>
        <v>0</v>
      </c>
      <c r="AF76" s="10">
        <f t="shared" si="68"/>
        <v>270</v>
      </c>
      <c r="AG76" s="8">
        <f t="shared" si="69"/>
        <v>0</v>
      </c>
      <c r="AH76" s="9">
        <f t="shared" si="70"/>
        <v>0</v>
      </c>
      <c r="AI76" s="11"/>
      <c r="AJ76" s="16"/>
      <c r="AK76" s="77"/>
      <c r="AL76" s="78"/>
      <c r="AM76" s="5"/>
      <c r="AN76" s="3"/>
      <c r="AO76" s="6"/>
      <c r="AP76" s="10"/>
      <c r="AQ76" s="7"/>
      <c r="AR76" s="10"/>
      <c r="AS76" s="17"/>
    </row>
    <row r="77" spans="1:45" ht="15">
      <c r="A77" s="11" t="s">
        <v>45</v>
      </c>
      <c r="B77" s="12" t="s">
        <v>46</v>
      </c>
      <c r="C77" s="12">
        <v>5</v>
      </c>
      <c r="D77" s="57">
        <v>5</v>
      </c>
      <c r="E77" s="19" t="s">
        <v>48</v>
      </c>
      <c r="F77" s="13"/>
      <c r="G77" s="45">
        <f>J77*1/100+39.54</f>
        <v>39.74</v>
      </c>
      <c r="H77" s="45">
        <f>K77*1/100+39.54</f>
        <v>39.74</v>
      </c>
      <c r="I77" s="1">
        <f t="shared" si="55"/>
        <v>39.74</v>
      </c>
      <c r="J77" s="51">
        <v>20</v>
      </c>
      <c r="K77" s="51">
        <v>20</v>
      </c>
      <c r="L77" s="14">
        <f t="shared" si="71"/>
        <v>20</v>
      </c>
      <c r="M77" s="52">
        <v>0</v>
      </c>
      <c r="N77" s="53">
        <v>0</v>
      </c>
      <c r="O77" s="53">
        <v>90</v>
      </c>
      <c r="P77" s="53">
        <v>0</v>
      </c>
      <c r="Q77" s="16"/>
      <c r="R77" s="54"/>
      <c r="S77" s="2">
        <f t="shared" si="56"/>
        <v>0</v>
      </c>
      <c r="T77" s="2">
        <f t="shared" si="57"/>
        <v>0</v>
      </c>
      <c r="U77" s="2">
        <f t="shared" si="58"/>
        <v>1</v>
      </c>
      <c r="V77" s="3">
        <f t="shared" si="59"/>
        <v>90</v>
      </c>
      <c r="W77" s="4">
        <f t="shared" si="60"/>
        <v>90</v>
      </c>
      <c r="X77" s="5">
        <f t="shared" si="51"/>
        <v>270</v>
      </c>
      <c r="Y77" s="3">
        <f t="shared" si="61"/>
        <v>180</v>
      </c>
      <c r="Z77" s="6">
        <f t="shared" si="62"/>
        <v>0</v>
      </c>
      <c r="AA77" s="7">
        <f t="shared" si="63"/>
        <v>89.99999999999999</v>
      </c>
      <c r="AB77" s="8">
        <f t="shared" si="64"/>
        <v>89.99999999999999</v>
      </c>
      <c r="AC77" s="9">
        <f t="shared" si="65"/>
        <v>2.833020276704623E-16</v>
      </c>
      <c r="AD77" s="9">
        <f t="shared" si="66"/>
        <v>1</v>
      </c>
      <c r="AE77" s="9">
        <f t="shared" si="67"/>
        <v>0</v>
      </c>
      <c r="AF77" s="10">
        <f t="shared" si="68"/>
        <v>270</v>
      </c>
      <c r="AG77" s="8">
        <f t="shared" si="69"/>
        <v>0</v>
      </c>
      <c r="AH77" s="9">
        <f t="shared" si="70"/>
        <v>0</v>
      </c>
      <c r="AI77" s="11"/>
      <c r="AJ77" s="16"/>
      <c r="AK77" s="77">
        <v>127.8</v>
      </c>
      <c r="AL77" s="78">
        <v>53.8</v>
      </c>
      <c r="AM77" s="5">
        <f>IF(AL77&gt;=0,IF(X77&gt;=AK77,X77-AK77,X77-AK77+360),IF((X77-AK77-180)&lt;0,IF(X77-AK77+180&lt;0,X77-AK77+540,X77-AK77+180),X77-AK77-180))</f>
        <v>142.2</v>
      </c>
      <c r="AN77" s="3">
        <f>IF(AM77-90&lt;0,AM77+270,AM77-90)</f>
        <v>52.19999999999999</v>
      </c>
      <c r="AO77" s="6">
        <f>Z77</f>
        <v>0</v>
      </c>
      <c r="AP77" s="10"/>
      <c r="AQ77" s="7"/>
      <c r="AR77" s="10"/>
      <c r="AS77" s="17"/>
    </row>
    <row r="78" spans="1:45" ht="15">
      <c r="A78" s="11" t="s">
        <v>45</v>
      </c>
      <c r="B78" s="13" t="s">
        <v>46</v>
      </c>
      <c r="C78" s="13">
        <v>6</v>
      </c>
      <c r="D78" s="14">
        <v>1</v>
      </c>
      <c r="E78" s="19" t="s">
        <v>48</v>
      </c>
      <c r="F78" s="13"/>
      <c r="G78" s="45">
        <f>J78*0.96/100+45.5</f>
        <v>46.0856</v>
      </c>
      <c r="H78" s="45">
        <f>K78*0.96/100+45.5</f>
        <v>46.0856</v>
      </c>
      <c r="I78" s="1">
        <f t="shared" si="55"/>
        <v>46.0856</v>
      </c>
      <c r="J78" s="51">
        <v>61</v>
      </c>
      <c r="K78" s="51">
        <v>61</v>
      </c>
      <c r="L78" s="14">
        <f t="shared" si="71"/>
        <v>61</v>
      </c>
      <c r="M78" s="52">
        <v>0</v>
      </c>
      <c r="N78" s="53">
        <v>0</v>
      </c>
      <c r="O78" s="53">
        <v>90</v>
      </c>
      <c r="P78" s="53">
        <v>0</v>
      </c>
      <c r="Q78" s="16"/>
      <c r="R78" s="54"/>
      <c r="S78" s="2">
        <f t="shared" si="56"/>
        <v>0</v>
      </c>
      <c r="T78" s="2">
        <f t="shared" si="57"/>
        <v>0</v>
      </c>
      <c r="U78" s="2">
        <f t="shared" si="58"/>
        <v>1</v>
      </c>
      <c r="V78" s="3">
        <f t="shared" si="59"/>
        <v>90</v>
      </c>
      <c r="W78" s="4">
        <f t="shared" si="60"/>
        <v>90</v>
      </c>
      <c r="X78" s="5">
        <f t="shared" si="51"/>
        <v>270</v>
      </c>
      <c r="Y78" s="3">
        <f t="shared" si="61"/>
        <v>180</v>
      </c>
      <c r="Z78" s="6">
        <f t="shared" si="62"/>
        <v>0</v>
      </c>
      <c r="AA78" s="7">
        <f t="shared" si="63"/>
        <v>89.99999999999999</v>
      </c>
      <c r="AB78" s="8">
        <f t="shared" si="64"/>
        <v>89.99999999999999</v>
      </c>
      <c r="AC78" s="9">
        <f t="shared" si="65"/>
        <v>2.833020276704623E-16</v>
      </c>
      <c r="AD78" s="9">
        <f t="shared" si="66"/>
        <v>1</v>
      </c>
      <c r="AE78" s="9">
        <f t="shared" si="67"/>
        <v>0</v>
      </c>
      <c r="AF78" s="10">
        <f t="shared" si="68"/>
        <v>270</v>
      </c>
      <c r="AG78" s="8">
        <f t="shared" si="69"/>
        <v>0</v>
      </c>
      <c r="AH78" s="9">
        <f t="shared" si="70"/>
        <v>0</v>
      </c>
      <c r="AI78" s="11"/>
      <c r="AJ78" s="16"/>
      <c r="AK78" s="77"/>
      <c r="AL78" s="78"/>
      <c r="AM78" s="5"/>
      <c r="AN78" s="3"/>
      <c r="AO78" s="6"/>
      <c r="AP78" s="10"/>
      <c r="AQ78" s="7"/>
      <c r="AR78" s="10"/>
      <c r="AS78" s="17"/>
    </row>
    <row r="79" spans="1:45" ht="15">
      <c r="A79" s="11" t="s">
        <v>45</v>
      </c>
      <c r="B79" s="13" t="s">
        <v>46</v>
      </c>
      <c r="C79" s="13">
        <v>6</v>
      </c>
      <c r="D79" s="14">
        <v>1</v>
      </c>
      <c r="E79" s="19" t="s">
        <v>48</v>
      </c>
      <c r="F79" s="13"/>
      <c r="G79" s="45">
        <f>J79*0.96/100+45.5</f>
        <v>46.5848</v>
      </c>
      <c r="H79" s="45">
        <f>K79*0.96/100+45.5</f>
        <v>46.5848</v>
      </c>
      <c r="I79" s="1">
        <f t="shared" si="55"/>
        <v>46.5848</v>
      </c>
      <c r="J79" s="51">
        <v>113</v>
      </c>
      <c r="K79" s="51">
        <v>113</v>
      </c>
      <c r="L79" s="14">
        <f t="shared" si="71"/>
        <v>113</v>
      </c>
      <c r="M79" s="52">
        <v>180</v>
      </c>
      <c r="N79" s="53">
        <v>3</v>
      </c>
      <c r="O79" s="53">
        <v>270</v>
      </c>
      <c r="P79" s="53">
        <v>22</v>
      </c>
      <c r="Q79" s="16"/>
      <c r="R79" s="54"/>
      <c r="S79" s="2">
        <f t="shared" si="56"/>
        <v>0.048525053641771426</v>
      </c>
      <c r="T79" s="2">
        <f t="shared" si="57"/>
        <v>0.37409320809892804</v>
      </c>
      <c r="U79" s="2">
        <f t="shared" si="58"/>
        <v>0.9259131813179834</v>
      </c>
      <c r="V79" s="3">
        <f t="shared" si="59"/>
        <v>82.60921368067469</v>
      </c>
      <c r="W79" s="4">
        <f t="shared" si="60"/>
        <v>67.83347501209849</v>
      </c>
      <c r="X79" s="5">
        <f aca="true" t="shared" si="73" ref="X79:X110">IF(U79&lt;0,V79,IF(V79+180&gt;=360,V79-180,V79+180))</f>
        <v>262.60921368067466</v>
      </c>
      <c r="Y79" s="3">
        <f t="shared" si="61"/>
        <v>172.60921368067466</v>
      </c>
      <c r="Z79" s="6">
        <f t="shared" si="62"/>
        <v>22.16652498790151</v>
      </c>
      <c r="AA79" s="7">
        <f t="shared" si="63"/>
        <v>96.84993591071782</v>
      </c>
      <c r="AB79" s="8">
        <f t="shared" si="64"/>
        <v>96.84993591071782</v>
      </c>
      <c r="AC79" s="9">
        <f t="shared" si="65"/>
        <v>-0.11926933840089318</v>
      </c>
      <c r="AD79" s="9">
        <f t="shared" si="66"/>
        <v>0.9194806822803505</v>
      </c>
      <c r="AE79" s="9">
        <f t="shared" si="67"/>
        <v>0.374606593415912</v>
      </c>
      <c r="AF79" s="10">
        <f t="shared" si="68"/>
        <v>270</v>
      </c>
      <c r="AG79" s="8">
        <f t="shared" si="69"/>
        <v>21.999999999999996</v>
      </c>
      <c r="AH79" s="9">
        <f t="shared" si="70"/>
        <v>-1.3609919444236428E-05</v>
      </c>
      <c r="AI79" s="11"/>
      <c r="AJ79" s="16"/>
      <c r="AK79" s="77"/>
      <c r="AL79" s="78"/>
      <c r="AM79" s="5"/>
      <c r="AN79" s="3"/>
      <c r="AO79" s="6"/>
      <c r="AP79" s="10"/>
      <c r="AQ79" s="7"/>
      <c r="AR79" s="10"/>
      <c r="AS79" s="17"/>
    </row>
    <row r="80" spans="1:45" ht="15">
      <c r="A80" s="11" t="s">
        <v>45</v>
      </c>
      <c r="B80" s="12" t="s">
        <v>46</v>
      </c>
      <c r="C80" s="12">
        <v>6</v>
      </c>
      <c r="D80" s="57">
        <v>2</v>
      </c>
      <c r="E80" s="15" t="s">
        <v>48</v>
      </c>
      <c r="F80" s="12"/>
      <c r="G80" s="45">
        <f>J80*0.96/100+46.925</f>
        <v>47.1746</v>
      </c>
      <c r="H80" s="45">
        <f>K80*0.96/100+46.925</f>
        <v>47.1746</v>
      </c>
      <c r="I80" s="1">
        <f t="shared" si="55"/>
        <v>47.1746</v>
      </c>
      <c r="J80" s="51">
        <v>26</v>
      </c>
      <c r="K80" s="51">
        <v>26</v>
      </c>
      <c r="L80" s="14">
        <f t="shared" si="71"/>
        <v>26</v>
      </c>
      <c r="M80" s="52">
        <v>0</v>
      </c>
      <c r="N80" s="53">
        <v>0</v>
      </c>
      <c r="O80" s="53">
        <v>270</v>
      </c>
      <c r="P80" s="53">
        <v>6</v>
      </c>
      <c r="Q80" s="16"/>
      <c r="R80" s="54"/>
      <c r="S80" s="2">
        <f t="shared" si="56"/>
        <v>0</v>
      </c>
      <c r="T80" s="2">
        <f t="shared" si="57"/>
        <v>-0.10452846326765346</v>
      </c>
      <c r="U80" s="2">
        <f t="shared" si="58"/>
        <v>-0.9945218953682733</v>
      </c>
      <c r="V80" s="3">
        <f t="shared" si="59"/>
        <v>270</v>
      </c>
      <c r="W80" s="4">
        <f t="shared" si="60"/>
        <v>-83.99999999999999</v>
      </c>
      <c r="X80" s="5">
        <f t="shared" si="73"/>
        <v>270</v>
      </c>
      <c r="Y80" s="3">
        <f t="shared" si="61"/>
        <v>180</v>
      </c>
      <c r="Z80" s="6">
        <f t="shared" si="62"/>
        <v>6.000000000000014</v>
      </c>
      <c r="AA80" s="7">
        <f t="shared" si="63"/>
        <v>90.00000000000001</v>
      </c>
      <c r="AB80" s="8">
        <f t="shared" si="64"/>
        <v>90.00000000000001</v>
      </c>
      <c r="AC80" s="9">
        <f t="shared" si="65"/>
        <v>-3.828317871046316E-16</v>
      </c>
      <c r="AD80" s="9">
        <f t="shared" si="66"/>
        <v>0.9945218953682733</v>
      </c>
      <c r="AE80" s="9">
        <f t="shared" si="67"/>
        <v>0.10452846326765372</v>
      </c>
      <c r="AF80" s="10">
        <f t="shared" si="68"/>
        <v>270</v>
      </c>
      <c r="AG80" s="8">
        <f t="shared" si="69"/>
        <v>6.000000000000015</v>
      </c>
      <c r="AH80" s="9">
        <f t="shared" si="70"/>
        <v>-1.2189813205963096E-20</v>
      </c>
      <c r="AI80" s="11"/>
      <c r="AJ80" s="16"/>
      <c r="AK80" s="77"/>
      <c r="AL80" s="78"/>
      <c r="AM80" s="5"/>
      <c r="AN80" s="3"/>
      <c r="AO80" s="6"/>
      <c r="AP80" s="10"/>
      <c r="AQ80" s="7"/>
      <c r="AR80" s="10"/>
      <c r="AS80" s="17"/>
    </row>
    <row r="81" spans="1:46" ht="15">
      <c r="A81" s="11" t="s">
        <v>45</v>
      </c>
      <c r="B81" s="12" t="s">
        <v>46</v>
      </c>
      <c r="C81" s="12">
        <v>6</v>
      </c>
      <c r="D81" s="57">
        <v>2</v>
      </c>
      <c r="E81" s="15" t="s">
        <v>48</v>
      </c>
      <c r="F81" s="12"/>
      <c r="G81" s="45">
        <f>J81*0.96/100+46.925</f>
        <v>48.182599999999994</v>
      </c>
      <c r="H81" s="45">
        <f>K81*0.96/100+46.925</f>
        <v>48.182599999999994</v>
      </c>
      <c r="I81" s="1">
        <f t="shared" si="55"/>
        <v>48.182599999999994</v>
      </c>
      <c r="J81" s="51">
        <v>131</v>
      </c>
      <c r="K81" s="51">
        <v>131</v>
      </c>
      <c r="L81" s="14">
        <f t="shared" si="71"/>
        <v>131</v>
      </c>
      <c r="M81" s="52">
        <v>0</v>
      </c>
      <c r="N81" s="53">
        <v>0</v>
      </c>
      <c r="O81" s="53">
        <v>270</v>
      </c>
      <c r="P81" s="53">
        <v>20</v>
      </c>
      <c r="Q81" s="16"/>
      <c r="R81" s="54"/>
      <c r="S81" s="2">
        <f t="shared" si="56"/>
        <v>0</v>
      </c>
      <c r="T81" s="2">
        <f t="shared" si="57"/>
        <v>-0.3420201433256687</v>
      </c>
      <c r="U81" s="2">
        <f t="shared" si="58"/>
        <v>-0.9396926207859084</v>
      </c>
      <c r="V81" s="3">
        <f t="shared" si="59"/>
        <v>270</v>
      </c>
      <c r="W81" s="4">
        <f t="shared" si="60"/>
        <v>-70</v>
      </c>
      <c r="X81" s="5">
        <f t="shared" si="73"/>
        <v>270</v>
      </c>
      <c r="Y81" s="3">
        <f t="shared" si="61"/>
        <v>180</v>
      </c>
      <c r="Z81" s="6">
        <f t="shared" si="62"/>
        <v>20</v>
      </c>
      <c r="AA81" s="7">
        <f t="shared" si="63"/>
        <v>90.00000000000001</v>
      </c>
      <c r="AB81" s="8">
        <f t="shared" si="64"/>
        <v>90.00000000000001</v>
      </c>
      <c r="AC81" s="9">
        <f t="shared" si="65"/>
        <v>-3.828317871046316E-16</v>
      </c>
      <c r="AD81" s="9">
        <f t="shared" si="66"/>
        <v>0.9396926207859084</v>
      </c>
      <c r="AE81" s="9">
        <f t="shared" si="67"/>
        <v>0.3420201433256687</v>
      </c>
      <c r="AF81" s="10">
        <f t="shared" si="68"/>
        <v>270</v>
      </c>
      <c r="AG81" s="8">
        <f t="shared" si="69"/>
        <v>20</v>
      </c>
      <c r="AH81" s="9">
        <f t="shared" si="70"/>
        <v>-3.988520525362788E-20</v>
      </c>
      <c r="AI81" s="11"/>
      <c r="AJ81" s="16"/>
      <c r="AK81" s="77"/>
      <c r="AL81" s="78"/>
      <c r="AM81" s="5"/>
      <c r="AN81" s="3"/>
      <c r="AO81" s="6"/>
      <c r="AP81" s="10"/>
      <c r="AQ81" s="7"/>
      <c r="AR81" s="10"/>
      <c r="AS81" s="17"/>
      <c r="AT81" s="18" t="s">
        <v>68</v>
      </c>
    </row>
    <row r="82" spans="1:45" ht="15">
      <c r="A82" s="11" t="s">
        <v>45</v>
      </c>
      <c r="B82" s="12" t="s">
        <v>46</v>
      </c>
      <c r="C82" s="12">
        <v>6</v>
      </c>
      <c r="D82" s="57">
        <v>3</v>
      </c>
      <c r="E82" s="15" t="s">
        <v>48</v>
      </c>
      <c r="F82" s="12"/>
      <c r="G82" s="45">
        <f>J82*0.96/100+48.293</f>
        <v>48.3986</v>
      </c>
      <c r="H82" s="45">
        <f>K82*0.96/100+48.293</f>
        <v>48.3986</v>
      </c>
      <c r="I82" s="1">
        <f t="shared" si="55"/>
        <v>48.3986</v>
      </c>
      <c r="J82" s="51">
        <v>11</v>
      </c>
      <c r="K82" s="51">
        <v>11</v>
      </c>
      <c r="L82" s="14">
        <f t="shared" si="71"/>
        <v>11</v>
      </c>
      <c r="M82" s="52">
        <v>0</v>
      </c>
      <c r="N82" s="53">
        <v>0</v>
      </c>
      <c r="O82" s="53">
        <v>90</v>
      </c>
      <c r="P82" s="53">
        <v>22</v>
      </c>
      <c r="Q82" s="16"/>
      <c r="R82" s="54"/>
      <c r="S82" s="2">
        <f t="shared" si="56"/>
        <v>0</v>
      </c>
      <c r="T82" s="2">
        <f t="shared" si="57"/>
        <v>-0.374606593415912</v>
      </c>
      <c r="U82" s="2">
        <f t="shared" si="58"/>
        <v>0.9271838545667874</v>
      </c>
      <c r="V82" s="3">
        <f t="shared" si="59"/>
        <v>270</v>
      </c>
      <c r="W82" s="4">
        <f t="shared" si="60"/>
        <v>68</v>
      </c>
      <c r="X82" s="5">
        <f t="shared" si="73"/>
        <v>90</v>
      </c>
      <c r="Y82" s="3">
        <f t="shared" si="61"/>
        <v>0</v>
      </c>
      <c r="Z82" s="6">
        <f t="shared" si="62"/>
        <v>22</v>
      </c>
      <c r="AA82" s="7">
        <f t="shared" si="63"/>
        <v>90</v>
      </c>
      <c r="AB82" s="8">
        <f t="shared" si="64"/>
        <v>90</v>
      </c>
      <c r="AC82" s="9">
        <f t="shared" si="65"/>
        <v>6.1257422745431E-17</v>
      </c>
      <c r="AD82" s="9">
        <f t="shared" si="66"/>
        <v>0.9271838545667874</v>
      </c>
      <c r="AE82" s="9">
        <f t="shared" si="67"/>
        <v>0.374606593415912</v>
      </c>
      <c r="AF82" s="10">
        <f t="shared" si="68"/>
        <v>90</v>
      </c>
      <c r="AG82" s="8">
        <f t="shared" si="69"/>
        <v>21.999999999999996</v>
      </c>
      <c r="AH82" s="9">
        <f t="shared" si="70"/>
        <v>6.990138473261425E-21</v>
      </c>
      <c r="AI82" s="11"/>
      <c r="AJ82" s="16"/>
      <c r="AK82" s="77"/>
      <c r="AL82" s="78"/>
      <c r="AM82" s="5"/>
      <c r="AN82" s="3"/>
      <c r="AO82" s="6"/>
      <c r="AP82" s="10"/>
      <c r="AQ82" s="7"/>
      <c r="AR82" s="10"/>
      <c r="AS82" s="17"/>
    </row>
    <row r="83" spans="1:45" ht="15">
      <c r="A83" s="11" t="s">
        <v>45</v>
      </c>
      <c r="B83" s="12" t="s">
        <v>46</v>
      </c>
      <c r="C83" s="12">
        <v>6</v>
      </c>
      <c r="D83" s="57">
        <v>5</v>
      </c>
      <c r="E83" s="15" t="s">
        <v>48</v>
      </c>
      <c r="F83" s="12"/>
      <c r="G83" s="45">
        <f>J83*0.96/100+49.858</f>
        <v>50.1844</v>
      </c>
      <c r="H83" s="45">
        <f>K83*0.96/100+49.858</f>
        <v>50.1844</v>
      </c>
      <c r="I83" s="1">
        <f t="shared" si="55"/>
        <v>50.1844</v>
      </c>
      <c r="J83" s="51">
        <v>34</v>
      </c>
      <c r="K83" s="51">
        <v>34</v>
      </c>
      <c r="L83" s="14">
        <f t="shared" si="71"/>
        <v>34</v>
      </c>
      <c r="M83" s="52">
        <v>0</v>
      </c>
      <c r="N83" s="53">
        <v>0</v>
      </c>
      <c r="O83" s="53">
        <v>90</v>
      </c>
      <c r="P83" s="53">
        <v>0</v>
      </c>
      <c r="Q83" s="16"/>
      <c r="R83" s="54"/>
      <c r="S83" s="2">
        <f t="shared" si="56"/>
        <v>0</v>
      </c>
      <c r="T83" s="2">
        <f t="shared" si="57"/>
        <v>0</v>
      </c>
      <c r="U83" s="2">
        <f t="shared" si="58"/>
        <v>1</v>
      </c>
      <c r="V83" s="3">
        <f t="shared" si="59"/>
        <v>90</v>
      </c>
      <c r="W83" s="4">
        <f t="shared" si="60"/>
        <v>90</v>
      </c>
      <c r="X83" s="5">
        <f t="shared" si="73"/>
        <v>270</v>
      </c>
      <c r="Y83" s="3">
        <f t="shared" si="61"/>
        <v>180</v>
      </c>
      <c r="Z83" s="6">
        <f t="shared" si="62"/>
        <v>0</v>
      </c>
      <c r="AA83" s="7">
        <f t="shared" si="63"/>
        <v>89.99999999999999</v>
      </c>
      <c r="AB83" s="8">
        <f t="shared" si="64"/>
        <v>89.99999999999999</v>
      </c>
      <c r="AC83" s="9">
        <f t="shared" si="65"/>
        <v>2.833020276704623E-16</v>
      </c>
      <c r="AD83" s="9">
        <f t="shared" si="66"/>
        <v>1</v>
      </c>
      <c r="AE83" s="9">
        <f t="shared" si="67"/>
        <v>0</v>
      </c>
      <c r="AF83" s="10">
        <f t="shared" si="68"/>
        <v>270</v>
      </c>
      <c r="AG83" s="8">
        <f t="shared" si="69"/>
        <v>0</v>
      </c>
      <c r="AH83" s="9">
        <f t="shared" si="70"/>
        <v>0</v>
      </c>
      <c r="AI83" s="11"/>
      <c r="AJ83" s="16"/>
      <c r="AK83" s="77"/>
      <c r="AL83" s="78"/>
      <c r="AM83" s="5"/>
      <c r="AN83" s="3"/>
      <c r="AO83" s="6"/>
      <c r="AP83" s="10"/>
      <c r="AQ83" s="7"/>
      <c r="AR83" s="10"/>
      <c r="AS83" s="17"/>
    </row>
    <row r="84" spans="1:45" ht="15">
      <c r="A84" s="11" t="s">
        <v>45</v>
      </c>
      <c r="B84" s="12" t="s">
        <v>46</v>
      </c>
      <c r="C84" s="12">
        <v>6</v>
      </c>
      <c r="D84" s="57">
        <v>6</v>
      </c>
      <c r="E84" s="15" t="s">
        <v>48</v>
      </c>
      <c r="F84" s="12"/>
      <c r="G84" s="45">
        <f>J84*0.96/100+51.225</f>
        <v>51.6858</v>
      </c>
      <c r="H84" s="45">
        <f>K84*0.96/100+51.225</f>
        <v>51.6858</v>
      </c>
      <c r="I84" s="1">
        <f t="shared" si="55"/>
        <v>51.6858</v>
      </c>
      <c r="J84" s="51">
        <v>48</v>
      </c>
      <c r="K84" s="51">
        <v>48</v>
      </c>
      <c r="L84" s="14">
        <f t="shared" si="71"/>
        <v>48</v>
      </c>
      <c r="M84" s="52">
        <v>0</v>
      </c>
      <c r="N84" s="53">
        <v>17</v>
      </c>
      <c r="O84" s="53">
        <v>90</v>
      </c>
      <c r="P84" s="53">
        <v>7</v>
      </c>
      <c r="Q84" s="16"/>
      <c r="R84" s="54"/>
      <c r="S84" s="2">
        <f t="shared" si="56"/>
        <v>-0.2901924103713653</v>
      </c>
      <c r="T84" s="2">
        <f t="shared" si="57"/>
        <v>-0.11654423270443491</v>
      </c>
      <c r="U84" s="2">
        <f t="shared" si="58"/>
        <v>0.9491766053274043</v>
      </c>
      <c r="V84" s="3">
        <f t="shared" si="59"/>
        <v>201.88089789451055</v>
      </c>
      <c r="W84" s="4">
        <f t="shared" si="60"/>
        <v>71.7647486187115</v>
      </c>
      <c r="X84" s="5">
        <f t="shared" si="73"/>
        <v>21.880897894510554</v>
      </c>
      <c r="Y84" s="3">
        <f t="shared" si="61"/>
        <v>291.88089789451055</v>
      </c>
      <c r="Z84" s="6">
        <f t="shared" si="62"/>
        <v>18.235251381288506</v>
      </c>
      <c r="AA84" s="7">
        <f t="shared" si="63"/>
        <v>157.0791404783857</v>
      </c>
      <c r="AB84" s="8">
        <f t="shared" si="64"/>
        <v>157.0791404783857</v>
      </c>
      <c r="AC84" s="9">
        <f t="shared" si="65"/>
        <v>-0.9210436772010183</v>
      </c>
      <c r="AD84" s="9">
        <f t="shared" si="66"/>
        <v>0.3699005377476823</v>
      </c>
      <c r="AE84" s="9">
        <f t="shared" si="67"/>
        <v>0.12186934340514761</v>
      </c>
      <c r="AF84" s="10">
        <f t="shared" si="68"/>
        <v>89.99999999999994</v>
      </c>
      <c r="AG84" s="8">
        <f t="shared" si="69"/>
        <v>7.000000000000008</v>
      </c>
      <c r="AH84" s="9">
        <f t="shared" si="70"/>
        <v>-3.419088952940889E-05</v>
      </c>
      <c r="AI84" s="11"/>
      <c r="AJ84" s="16"/>
      <c r="AK84" s="77"/>
      <c r="AL84" s="78"/>
      <c r="AM84" s="5"/>
      <c r="AN84" s="3"/>
      <c r="AO84" s="6"/>
      <c r="AP84" s="10"/>
      <c r="AQ84" s="7"/>
      <c r="AR84" s="10"/>
      <c r="AS84" s="17"/>
    </row>
    <row r="85" spans="1:45" ht="15">
      <c r="A85" s="11" t="s">
        <v>45</v>
      </c>
      <c r="B85" s="12" t="s">
        <v>46</v>
      </c>
      <c r="C85" s="12">
        <v>6</v>
      </c>
      <c r="D85" s="57">
        <v>6</v>
      </c>
      <c r="E85" s="15" t="s">
        <v>48</v>
      </c>
      <c r="F85" s="12"/>
      <c r="G85" s="45">
        <f>J85*0.96/100+51.225</f>
        <v>52.300200000000004</v>
      </c>
      <c r="H85" s="45">
        <f>K85*0.96/100+51.225</f>
        <v>52.300200000000004</v>
      </c>
      <c r="I85" s="1">
        <f t="shared" si="55"/>
        <v>52.300200000000004</v>
      </c>
      <c r="J85" s="51">
        <v>112</v>
      </c>
      <c r="K85" s="51">
        <v>112</v>
      </c>
      <c r="L85" s="14">
        <f t="shared" si="71"/>
        <v>112</v>
      </c>
      <c r="M85" s="52">
        <v>0</v>
      </c>
      <c r="N85" s="53">
        <v>0</v>
      </c>
      <c r="O85" s="53">
        <v>270</v>
      </c>
      <c r="P85" s="53">
        <v>23</v>
      </c>
      <c r="Q85" s="16"/>
      <c r="R85" s="54"/>
      <c r="S85" s="2">
        <f t="shared" si="56"/>
        <v>0</v>
      </c>
      <c r="T85" s="2">
        <f t="shared" si="57"/>
        <v>-0.3907311284892737</v>
      </c>
      <c r="U85" s="2">
        <f t="shared" si="58"/>
        <v>-0.9205048534524404</v>
      </c>
      <c r="V85" s="3">
        <f t="shared" si="59"/>
        <v>270</v>
      </c>
      <c r="W85" s="4">
        <f t="shared" si="60"/>
        <v>-67.00000000000001</v>
      </c>
      <c r="X85" s="5">
        <f t="shared" si="73"/>
        <v>270</v>
      </c>
      <c r="Y85" s="3">
        <f t="shared" si="61"/>
        <v>180</v>
      </c>
      <c r="Z85" s="6">
        <f t="shared" si="62"/>
        <v>22.999999999999986</v>
      </c>
      <c r="AA85" s="7">
        <f t="shared" si="63"/>
        <v>90.00000000000001</v>
      </c>
      <c r="AB85" s="8">
        <f t="shared" si="64"/>
        <v>90.00000000000001</v>
      </c>
      <c r="AC85" s="9">
        <f t="shared" si="65"/>
        <v>-3.828317871046316E-16</v>
      </c>
      <c r="AD85" s="9">
        <f t="shared" si="66"/>
        <v>0.9205048534524405</v>
      </c>
      <c r="AE85" s="9">
        <f t="shared" si="67"/>
        <v>0.3907311284892735</v>
      </c>
      <c r="AF85" s="10">
        <f t="shared" si="68"/>
        <v>270</v>
      </c>
      <c r="AG85" s="8">
        <f t="shared" si="69"/>
        <v>22.999999999999982</v>
      </c>
      <c r="AH85" s="9">
        <f t="shared" si="70"/>
        <v>-4.5565629165579756E-20</v>
      </c>
      <c r="AI85" s="11"/>
      <c r="AJ85" s="16"/>
      <c r="AK85" s="77"/>
      <c r="AL85" s="78"/>
      <c r="AM85" s="5"/>
      <c r="AN85" s="3"/>
      <c r="AO85" s="6"/>
      <c r="AP85" s="10"/>
      <c r="AQ85" s="7"/>
      <c r="AR85" s="10"/>
      <c r="AS85" s="17"/>
    </row>
    <row r="86" spans="1:45" ht="15">
      <c r="A86" s="11" t="s">
        <v>45</v>
      </c>
      <c r="B86" s="12" t="s">
        <v>46</v>
      </c>
      <c r="C86" s="12">
        <v>6</v>
      </c>
      <c r="D86" s="57">
        <v>7</v>
      </c>
      <c r="E86" s="15" t="s">
        <v>48</v>
      </c>
      <c r="F86" s="12"/>
      <c r="G86" s="45">
        <f>J86*0.96/100+52.597</f>
        <v>52.7986</v>
      </c>
      <c r="H86" s="45">
        <f>K86*0.96/100+52.597</f>
        <v>52.7986</v>
      </c>
      <c r="I86" s="1">
        <f t="shared" si="55"/>
        <v>52.7986</v>
      </c>
      <c r="J86" s="51">
        <v>21</v>
      </c>
      <c r="K86" s="51">
        <v>21</v>
      </c>
      <c r="L86" s="14">
        <f t="shared" si="71"/>
        <v>21</v>
      </c>
      <c r="M86" s="52">
        <v>180</v>
      </c>
      <c r="N86" s="53">
        <v>22</v>
      </c>
      <c r="O86" s="53">
        <v>270</v>
      </c>
      <c r="P86" s="53">
        <v>12</v>
      </c>
      <c r="Q86" s="16"/>
      <c r="R86" s="54"/>
      <c r="S86" s="2">
        <f t="shared" si="56"/>
        <v>0.3664205405688386</v>
      </c>
      <c r="T86" s="2">
        <f t="shared" si="57"/>
        <v>0.19277236290190816</v>
      </c>
      <c r="U86" s="2">
        <f t="shared" si="58"/>
        <v>0.906922662783625</v>
      </c>
      <c r="V86" s="3">
        <f t="shared" si="59"/>
        <v>27.748676189757354</v>
      </c>
      <c r="W86" s="4">
        <f t="shared" si="60"/>
        <v>65.46199189601964</v>
      </c>
      <c r="X86" s="5">
        <f t="shared" si="73"/>
        <v>207.74867618975736</v>
      </c>
      <c r="Y86" s="3">
        <f t="shared" si="61"/>
        <v>117.74867618975736</v>
      </c>
      <c r="Z86" s="6">
        <f t="shared" si="62"/>
        <v>24.53800810398036</v>
      </c>
      <c r="AA86" s="7">
        <f t="shared" si="63"/>
        <v>149.95804633942092</v>
      </c>
      <c r="AB86" s="8">
        <f t="shared" si="64"/>
        <v>149.95804633942092</v>
      </c>
      <c r="AC86" s="9">
        <f t="shared" si="65"/>
        <v>-0.865659056897866</v>
      </c>
      <c r="AD86" s="9">
        <f t="shared" si="66"/>
        <v>0.45541972512397566</v>
      </c>
      <c r="AE86" s="9">
        <f t="shared" si="67"/>
        <v>0.20791169081775931</v>
      </c>
      <c r="AF86" s="10">
        <f t="shared" si="68"/>
        <v>270</v>
      </c>
      <c r="AG86" s="8">
        <f t="shared" si="69"/>
        <v>12</v>
      </c>
      <c r="AH86" s="9">
        <f t="shared" si="70"/>
        <v>-5.4823031500278006E-05</v>
      </c>
      <c r="AI86" s="11"/>
      <c r="AJ86" s="16"/>
      <c r="AK86" s="77"/>
      <c r="AL86" s="78"/>
      <c r="AM86" s="5"/>
      <c r="AN86" s="3"/>
      <c r="AO86" s="6"/>
      <c r="AP86" s="10"/>
      <c r="AQ86" s="7"/>
      <c r="AR86" s="10"/>
      <c r="AS86" s="17"/>
    </row>
    <row r="87" spans="1:45" ht="15">
      <c r="A87" s="11" t="s">
        <v>45</v>
      </c>
      <c r="B87" s="12" t="s">
        <v>46</v>
      </c>
      <c r="C87" s="12">
        <v>6</v>
      </c>
      <c r="D87" s="57">
        <v>7</v>
      </c>
      <c r="E87" s="15" t="s">
        <v>48</v>
      </c>
      <c r="F87" s="12"/>
      <c r="G87" s="45">
        <f>J87*0.96/100+52.597</f>
        <v>53.7394</v>
      </c>
      <c r="H87" s="45">
        <f>K87*0.96/100+52.597</f>
        <v>53.7394</v>
      </c>
      <c r="I87" s="1">
        <f t="shared" si="55"/>
        <v>53.7394</v>
      </c>
      <c r="J87" s="51">
        <v>119</v>
      </c>
      <c r="K87" s="51">
        <v>119</v>
      </c>
      <c r="L87" s="14">
        <f t="shared" si="71"/>
        <v>119</v>
      </c>
      <c r="M87" s="52">
        <v>180</v>
      </c>
      <c r="N87" s="53">
        <v>13</v>
      </c>
      <c r="O87" s="53">
        <v>270</v>
      </c>
      <c r="P87" s="53">
        <v>6</v>
      </c>
      <c r="Q87" s="16"/>
      <c r="R87" s="54"/>
      <c r="S87" s="2">
        <f t="shared" si="56"/>
        <v>0.22371874893115207</v>
      </c>
      <c r="T87" s="2">
        <f t="shared" si="57"/>
        <v>0.10184940552600454</v>
      </c>
      <c r="U87" s="2">
        <f t="shared" si="58"/>
        <v>0.9690323636203194</v>
      </c>
      <c r="V87" s="3">
        <f t="shared" si="59"/>
        <v>24.477707697872493</v>
      </c>
      <c r="W87" s="4">
        <f t="shared" si="60"/>
        <v>75.76617523605174</v>
      </c>
      <c r="X87" s="5">
        <f t="shared" si="73"/>
        <v>204.4777076978725</v>
      </c>
      <c r="Y87" s="3">
        <f t="shared" si="61"/>
        <v>114.47770769787249</v>
      </c>
      <c r="Z87" s="6">
        <f t="shared" si="62"/>
        <v>14.233824763948263</v>
      </c>
      <c r="AA87" s="7">
        <f t="shared" si="63"/>
        <v>154.84171427193826</v>
      </c>
      <c r="AB87" s="8">
        <f t="shared" si="64"/>
        <v>154.84171427193826</v>
      </c>
      <c r="AC87" s="9">
        <f t="shared" si="65"/>
        <v>-0.9051368018380869</v>
      </c>
      <c r="AD87" s="9">
        <f t="shared" si="66"/>
        <v>0.41206937562165746</v>
      </c>
      <c r="AE87" s="9">
        <f t="shared" si="67"/>
        <v>0.10452846326765347</v>
      </c>
      <c r="AF87" s="10">
        <f t="shared" si="68"/>
        <v>270</v>
      </c>
      <c r="AG87" s="8">
        <f t="shared" si="69"/>
        <v>6</v>
      </c>
      <c r="AH87" s="9">
        <f t="shared" si="70"/>
        <v>-2.8819418844097805E-05</v>
      </c>
      <c r="AI87" s="11"/>
      <c r="AJ87" s="16"/>
      <c r="AK87" s="77"/>
      <c r="AL87" s="78"/>
      <c r="AM87" s="5"/>
      <c r="AN87" s="3"/>
      <c r="AO87" s="6"/>
      <c r="AP87" s="10"/>
      <c r="AQ87" s="7"/>
      <c r="AR87" s="10"/>
      <c r="AS87" s="17"/>
    </row>
    <row r="88" spans="1:45" ht="15">
      <c r="A88" s="11" t="s">
        <v>45</v>
      </c>
      <c r="B88" s="12" t="s">
        <v>46</v>
      </c>
      <c r="C88" s="12">
        <v>6</v>
      </c>
      <c r="D88" s="57">
        <v>8</v>
      </c>
      <c r="E88" s="15" t="s">
        <v>48</v>
      </c>
      <c r="F88" s="12"/>
      <c r="G88" s="45">
        <f>J88*0.96/100+53.955</f>
        <v>54.367799999999995</v>
      </c>
      <c r="H88" s="45">
        <f>K88*0.96/100+53.955</f>
        <v>54.367799999999995</v>
      </c>
      <c r="I88" s="1">
        <f t="shared" si="55"/>
        <v>54.367799999999995</v>
      </c>
      <c r="J88" s="51">
        <v>43</v>
      </c>
      <c r="K88" s="51">
        <v>43</v>
      </c>
      <c r="L88" s="14">
        <f t="shared" si="71"/>
        <v>43</v>
      </c>
      <c r="M88" s="52">
        <v>0</v>
      </c>
      <c r="N88" s="53">
        <v>19</v>
      </c>
      <c r="O88" s="53">
        <v>90</v>
      </c>
      <c r="P88" s="53">
        <v>3</v>
      </c>
      <c r="Q88" s="16"/>
      <c r="R88" s="54"/>
      <c r="S88" s="2">
        <f t="shared" si="56"/>
        <v>-0.3251219746164556</v>
      </c>
      <c r="T88" s="2">
        <f t="shared" si="57"/>
        <v>-0.0494846187994564</v>
      </c>
      <c r="U88" s="2">
        <f t="shared" si="58"/>
        <v>0.9442227752525532</v>
      </c>
      <c r="V88" s="3">
        <f t="shared" si="59"/>
        <v>188.65418421409595</v>
      </c>
      <c r="W88" s="4">
        <f t="shared" si="60"/>
        <v>70.79712563594816</v>
      </c>
      <c r="X88" s="5">
        <f t="shared" si="73"/>
        <v>8.654184214095949</v>
      </c>
      <c r="Y88" s="3">
        <f t="shared" si="61"/>
        <v>278.65418421409595</v>
      </c>
      <c r="Z88" s="6">
        <f t="shared" si="62"/>
        <v>19.202874364051837</v>
      </c>
      <c r="AA88" s="7">
        <f t="shared" si="63"/>
        <v>170.84432718196334</v>
      </c>
      <c r="AB88" s="8">
        <f t="shared" si="64"/>
        <v>170.84432718196334</v>
      </c>
      <c r="AC88" s="9">
        <f t="shared" si="65"/>
        <v>-0.9872596625631421</v>
      </c>
      <c r="AD88" s="9">
        <f t="shared" si="66"/>
        <v>0.15026412199805883</v>
      </c>
      <c r="AE88" s="9">
        <f t="shared" si="67"/>
        <v>0.052335956242943585</v>
      </c>
      <c r="AF88" s="10">
        <f t="shared" si="68"/>
        <v>90.00000000000003</v>
      </c>
      <c r="AG88" s="8">
        <f t="shared" si="69"/>
        <v>2.999999999999986</v>
      </c>
      <c r="AH88" s="9">
        <f t="shared" si="70"/>
        <v>-1.573855081248235E-05</v>
      </c>
      <c r="AI88" s="11"/>
      <c r="AJ88" s="16"/>
      <c r="AK88" s="77"/>
      <c r="AL88" s="78"/>
      <c r="AM88" s="5"/>
      <c r="AN88" s="3"/>
      <c r="AO88" s="6"/>
      <c r="AP88" s="10"/>
      <c r="AQ88" s="7"/>
      <c r="AR88" s="10"/>
      <c r="AS88" s="17"/>
    </row>
    <row r="89" spans="1:45" ht="15">
      <c r="A89" s="11" t="s">
        <v>45</v>
      </c>
      <c r="B89" s="13" t="s">
        <v>46</v>
      </c>
      <c r="C89" s="13">
        <v>7</v>
      </c>
      <c r="D89" s="14">
        <v>1</v>
      </c>
      <c r="E89" s="15" t="s">
        <v>48</v>
      </c>
      <c r="F89" s="12"/>
      <c r="G89" s="58">
        <f>55+J89/100</f>
        <v>55.9</v>
      </c>
      <c r="H89" s="58">
        <f>55+K89/100</f>
        <v>55.92</v>
      </c>
      <c r="I89" s="1">
        <f t="shared" si="55"/>
        <v>55.91</v>
      </c>
      <c r="J89" s="51">
        <v>90</v>
      </c>
      <c r="K89" s="51">
        <v>92</v>
      </c>
      <c r="L89" s="14">
        <f t="shared" si="71"/>
        <v>91</v>
      </c>
      <c r="M89" s="52">
        <v>0</v>
      </c>
      <c r="N89" s="53">
        <v>17</v>
      </c>
      <c r="O89" s="53">
        <v>90</v>
      </c>
      <c r="P89" s="53">
        <v>16</v>
      </c>
      <c r="Q89" s="16"/>
      <c r="R89" s="54"/>
      <c r="S89" s="2">
        <f t="shared" si="56"/>
        <v>-0.28104572072615536</v>
      </c>
      <c r="T89" s="2">
        <f t="shared" si="57"/>
        <v>-0.2635933142888717</v>
      </c>
      <c r="U89" s="2">
        <f t="shared" si="58"/>
        <v>0.9192591315509077</v>
      </c>
      <c r="V89" s="3">
        <f t="shared" si="59"/>
        <v>223.16464277688186</v>
      </c>
      <c r="W89" s="4">
        <f t="shared" si="60"/>
        <v>67.25857280745855</v>
      </c>
      <c r="X89" s="5">
        <f t="shared" si="73"/>
        <v>43.16464277688186</v>
      </c>
      <c r="Y89" s="3">
        <f t="shared" si="61"/>
        <v>313.16464277688186</v>
      </c>
      <c r="Z89" s="6">
        <f t="shared" si="62"/>
        <v>22.74142719254145</v>
      </c>
      <c r="AA89" s="7">
        <f t="shared" si="63"/>
        <v>134.51818090431277</v>
      </c>
      <c r="AB89" s="8">
        <f t="shared" si="64"/>
        <v>134.51818090431277</v>
      </c>
      <c r="AC89" s="9">
        <f t="shared" si="65"/>
        <v>-0.7011355552457226</v>
      </c>
      <c r="AD89" s="9">
        <f t="shared" si="66"/>
        <v>0.657596366511012</v>
      </c>
      <c r="AE89" s="9">
        <f t="shared" si="67"/>
        <v>0.2756373558169993</v>
      </c>
      <c r="AF89" s="10">
        <f t="shared" si="68"/>
        <v>90</v>
      </c>
      <c r="AG89" s="8">
        <f t="shared" si="69"/>
        <v>16.000000000000007</v>
      </c>
      <c r="AH89" s="9">
        <f t="shared" si="70"/>
        <v>-5.886840744775837E-05</v>
      </c>
      <c r="AI89" s="11"/>
      <c r="AJ89" s="16"/>
      <c r="AK89" s="77"/>
      <c r="AL89" s="78"/>
      <c r="AM89" s="5"/>
      <c r="AN89" s="3"/>
      <c r="AO89" s="6"/>
      <c r="AP89" s="10"/>
      <c r="AQ89" s="7"/>
      <c r="AR89" s="10"/>
      <c r="AS89" s="17"/>
    </row>
    <row r="90" spans="1:45" ht="15">
      <c r="A90" s="11" t="s">
        <v>45</v>
      </c>
      <c r="B90" s="12" t="s">
        <v>46</v>
      </c>
      <c r="C90" s="13">
        <v>7</v>
      </c>
      <c r="D90" s="14">
        <v>1</v>
      </c>
      <c r="E90" s="15" t="s">
        <v>48</v>
      </c>
      <c r="F90" s="12"/>
      <c r="G90" s="58">
        <f>55+J90/100</f>
        <v>55.99</v>
      </c>
      <c r="H90" s="58">
        <f>55+K90/100</f>
        <v>56.06</v>
      </c>
      <c r="I90" s="1">
        <f t="shared" si="55"/>
        <v>56.025000000000006</v>
      </c>
      <c r="J90" s="51">
        <v>99</v>
      </c>
      <c r="K90" s="51">
        <v>106</v>
      </c>
      <c r="L90" s="14">
        <v>90</v>
      </c>
      <c r="M90" s="52">
        <v>0</v>
      </c>
      <c r="N90" s="53">
        <v>12</v>
      </c>
      <c r="O90" s="53">
        <v>90</v>
      </c>
      <c r="P90" s="53">
        <v>10</v>
      </c>
      <c r="Q90" s="16"/>
      <c r="R90" s="54"/>
      <c r="S90" s="2">
        <f t="shared" si="56"/>
        <v>-0.20475304505920647</v>
      </c>
      <c r="T90" s="2">
        <f t="shared" si="57"/>
        <v>-0.16985354835670552</v>
      </c>
      <c r="U90" s="2">
        <f t="shared" si="58"/>
        <v>0.9632873407929415</v>
      </c>
      <c r="V90" s="3">
        <f t="shared" si="59"/>
        <v>219.67751293798415</v>
      </c>
      <c r="W90" s="4">
        <f t="shared" si="60"/>
        <v>74.56128769428251</v>
      </c>
      <c r="X90" s="5">
        <f t="shared" si="73"/>
        <v>39.67751293798415</v>
      </c>
      <c r="Y90" s="3">
        <f t="shared" si="61"/>
        <v>309.67751293798415</v>
      </c>
      <c r="Z90" s="6">
        <f t="shared" si="62"/>
        <v>15.438712305717488</v>
      </c>
      <c r="AA90" s="7">
        <f t="shared" si="63"/>
        <v>139.284463140236</v>
      </c>
      <c r="AB90" s="8">
        <f t="shared" si="64"/>
        <v>139.284463140236</v>
      </c>
      <c r="AC90" s="9">
        <f t="shared" si="65"/>
        <v>-0.7579574792202246</v>
      </c>
      <c r="AD90" s="9">
        <f t="shared" si="66"/>
        <v>0.6287660694464015</v>
      </c>
      <c r="AE90" s="9">
        <f t="shared" si="67"/>
        <v>0.17364817766693044</v>
      </c>
      <c r="AF90" s="10">
        <f t="shared" si="68"/>
        <v>89.99999999999997</v>
      </c>
      <c r="AG90" s="8">
        <f t="shared" si="69"/>
        <v>10.000000000000005</v>
      </c>
      <c r="AH90" s="9">
        <f t="shared" si="70"/>
        <v>-4.009188499631663E-05</v>
      </c>
      <c r="AI90" s="11"/>
      <c r="AJ90" s="16"/>
      <c r="AK90" s="77"/>
      <c r="AL90" s="78"/>
      <c r="AM90" s="5"/>
      <c r="AN90" s="3"/>
      <c r="AO90" s="6"/>
      <c r="AP90" s="10"/>
      <c r="AQ90" s="7"/>
      <c r="AR90" s="10"/>
      <c r="AS90" s="17"/>
    </row>
    <row r="91" spans="1:45" ht="15">
      <c r="A91" s="11" t="s">
        <v>45</v>
      </c>
      <c r="B91" s="12" t="s">
        <v>46</v>
      </c>
      <c r="C91" s="13">
        <v>7</v>
      </c>
      <c r="D91" s="14">
        <v>3</v>
      </c>
      <c r="E91" s="15" t="s">
        <v>48</v>
      </c>
      <c r="F91" s="12"/>
      <c r="G91" s="59">
        <f>56.27+J91/100</f>
        <v>56.550000000000004</v>
      </c>
      <c r="H91" s="59">
        <f>56.27+K91/100</f>
        <v>56.580000000000005</v>
      </c>
      <c r="I91" s="1">
        <f t="shared" si="55"/>
        <v>56.565000000000005</v>
      </c>
      <c r="J91" s="51">
        <v>28</v>
      </c>
      <c r="K91" s="51">
        <v>31</v>
      </c>
      <c r="L91" s="14">
        <f aca="true" t="shared" si="74" ref="L91:L122">(+J91+K91)/2</f>
        <v>29.5</v>
      </c>
      <c r="M91" s="52">
        <v>0</v>
      </c>
      <c r="N91" s="53">
        <v>0</v>
      </c>
      <c r="O91" s="53">
        <v>90</v>
      </c>
      <c r="P91" s="53">
        <v>16</v>
      </c>
      <c r="Q91" s="16"/>
      <c r="R91" s="54"/>
      <c r="S91" s="2">
        <f t="shared" si="56"/>
        <v>0</v>
      </c>
      <c r="T91" s="2">
        <f t="shared" si="57"/>
        <v>-0.27563735581699916</v>
      </c>
      <c r="U91" s="2">
        <f t="shared" si="58"/>
        <v>0.9612616959383189</v>
      </c>
      <c r="V91" s="3">
        <f t="shared" si="59"/>
        <v>270</v>
      </c>
      <c r="W91" s="4">
        <f t="shared" si="60"/>
        <v>74.00000000000001</v>
      </c>
      <c r="X91" s="5">
        <f t="shared" si="73"/>
        <v>90</v>
      </c>
      <c r="Y91" s="3">
        <f t="shared" si="61"/>
        <v>0</v>
      </c>
      <c r="Z91" s="6">
        <f t="shared" si="62"/>
        <v>15.999999999999986</v>
      </c>
      <c r="AA91" s="7">
        <f t="shared" si="63"/>
        <v>90</v>
      </c>
      <c r="AB91" s="8">
        <f t="shared" si="64"/>
        <v>90</v>
      </c>
      <c r="AC91" s="9">
        <f t="shared" si="65"/>
        <v>6.1257422745431E-17</v>
      </c>
      <c r="AD91" s="9">
        <f t="shared" si="66"/>
        <v>0.9612616959383189</v>
      </c>
      <c r="AE91" s="9">
        <f t="shared" si="67"/>
        <v>0.27563735581699894</v>
      </c>
      <c r="AF91" s="10">
        <f t="shared" si="68"/>
        <v>90</v>
      </c>
      <c r="AG91" s="8">
        <f t="shared" si="69"/>
        <v>15.99999999999999</v>
      </c>
      <c r="AH91" s="9">
        <f t="shared" si="70"/>
        <v>5.143394736161201E-21</v>
      </c>
      <c r="AI91" s="11"/>
      <c r="AJ91" s="16"/>
      <c r="AK91" s="77"/>
      <c r="AL91" s="78"/>
      <c r="AM91" s="5"/>
      <c r="AN91" s="3"/>
      <c r="AO91" s="6"/>
      <c r="AP91" s="10"/>
      <c r="AQ91" s="7"/>
      <c r="AR91" s="10"/>
      <c r="AS91" s="17"/>
    </row>
    <row r="92" spans="1:46" ht="15">
      <c r="A92" s="11" t="s">
        <v>45</v>
      </c>
      <c r="B92" s="12" t="s">
        <v>46</v>
      </c>
      <c r="C92" s="13">
        <v>7</v>
      </c>
      <c r="D92" s="14">
        <v>3</v>
      </c>
      <c r="E92" s="19" t="s">
        <v>47</v>
      </c>
      <c r="F92" s="13" t="s">
        <v>54</v>
      </c>
      <c r="G92" s="59">
        <f>56.27+J92/100</f>
        <v>57.28</v>
      </c>
      <c r="H92" s="59">
        <f>56.27+K92/100</f>
        <v>57.36000000000001</v>
      </c>
      <c r="I92" s="1">
        <f t="shared" si="55"/>
        <v>57.32000000000001</v>
      </c>
      <c r="J92" s="51">
        <v>101</v>
      </c>
      <c r="K92" s="51">
        <v>109</v>
      </c>
      <c r="L92" s="14">
        <f t="shared" si="74"/>
        <v>105</v>
      </c>
      <c r="M92" s="52">
        <v>180</v>
      </c>
      <c r="N92" s="53">
        <v>58</v>
      </c>
      <c r="O92" s="53">
        <v>270</v>
      </c>
      <c r="P92" s="53">
        <v>40</v>
      </c>
      <c r="Q92" s="16"/>
      <c r="R92" s="54"/>
      <c r="S92" s="2">
        <f t="shared" si="56"/>
        <v>0.6496425315582588</v>
      </c>
      <c r="T92" s="2">
        <f t="shared" si="57"/>
        <v>0.34062553718331123</v>
      </c>
      <c r="U92" s="2">
        <f t="shared" si="58"/>
        <v>0.405941707667544</v>
      </c>
      <c r="V92" s="3">
        <f t="shared" si="59"/>
        <v>27.669264953996503</v>
      </c>
      <c r="W92" s="4">
        <f t="shared" si="60"/>
        <v>28.960627654362323</v>
      </c>
      <c r="X92" s="5">
        <f t="shared" si="73"/>
        <v>207.6692649539965</v>
      </c>
      <c r="Y92" s="3">
        <f t="shared" si="61"/>
        <v>117.6692649539965</v>
      </c>
      <c r="Z92" s="6">
        <f t="shared" si="62"/>
        <v>61.03937234563767</v>
      </c>
      <c r="AA92" s="7">
        <f t="shared" si="63"/>
        <v>132.72199835830455</v>
      </c>
      <c r="AB92" s="8">
        <f t="shared" si="64"/>
        <v>132.72199835830455</v>
      </c>
      <c r="AC92" s="9">
        <f t="shared" si="65"/>
        <v>-0.6784417857658592</v>
      </c>
      <c r="AD92" s="9">
        <f t="shared" si="66"/>
        <v>0.3557257822541083</v>
      </c>
      <c r="AE92" s="9">
        <f t="shared" si="67"/>
        <v>0.6427876096865393</v>
      </c>
      <c r="AF92" s="10">
        <f t="shared" si="68"/>
        <v>270</v>
      </c>
      <c r="AG92" s="8">
        <f t="shared" si="69"/>
        <v>39.99999999999999</v>
      </c>
      <c r="AH92" s="9">
        <f t="shared" si="70"/>
        <v>-0.00013283593029300643</v>
      </c>
      <c r="AI92" s="11"/>
      <c r="AJ92" s="16"/>
      <c r="AK92" s="77"/>
      <c r="AL92" s="78"/>
      <c r="AM92" s="5"/>
      <c r="AN92" s="3"/>
      <c r="AO92" s="6"/>
      <c r="AP92" s="10"/>
      <c r="AQ92" s="7"/>
      <c r="AR92" s="10"/>
      <c r="AS92" s="17"/>
      <c r="AT92" s="18" t="s">
        <v>67</v>
      </c>
    </row>
    <row r="93" spans="1:45" ht="15">
      <c r="A93" s="11" t="s">
        <v>45</v>
      </c>
      <c r="B93" s="12" t="s">
        <v>46</v>
      </c>
      <c r="C93" s="13">
        <v>8</v>
      </c>
      <c r="D93" s="14">
        <v>1</v>
      </c>
      <c r="E93" s="15" t="s">
        <v>48</v>
      </c>
      <c r="F93" s="13"/>
      <c r="G93" s="58">
        <f>61.5+J93/100</f>
        <v>62.12</v>
      </c>
      <c r="H93" s="58">
        <f>61.5+K93/100</f>
        <v>62.18</v>
      </c>
      <c r="I93" s="1">
        <f t="shared" si="55"/>
        <v>62.15</v>
      </c>
      <c r="J93" s="51">
        <v>62</v>
      </c>
      <c r="K93" s="51">
        <v>68</v>
      </c>
      <c r="L93" s="14">
        <f t="shared" si="74"/>
        <v>65</v>
      </c>
      <c r="M93" s="52">
        <v>180</v>
      </c>
      <c r="N93" s="53">
        <v>17</v>
      </c>
      <c r="O93" s="53">
        <v>270</v>
      </c>
      <c r="P93" s="53">
        <v>34</v>
      </c>
      <c r="Q93" s="16"/>
      <c r="R93" s="54"/>
      <c r="S93" s="2">
        <f t="shared" si="56"/>
        <v>0.24238712836711715</v>
      </c>
      <c r="T93" s="2">
        <f t="shared" si="57"/>
        <v>0.5347588330898538</v>
      </c>
      <c r="U93" s="2">
        <f t="shared" si="58"/>
        <v>0.7928125735064364</v>
      </c>
      <c r="V93" s="3">
        <f t="shared" si="59"/>
        <v>65.61690643914949</v>
      </c>
      <c r="W93" s="4">
        <f t="shared" si="60"/>
        <v>53.4777351028326</v>
      </c>
      <c r="X93" s="5">
        <f t="shared" si="73"/>
        <v>245.6169064391495</v>
      </c>
      <c r="Y93" s="3">
        <f t="shared" si="61"/>
        <v>155.6169064391495</v>
      </c>
      <c r="Z93" s="6">
        <f t="shared" si="62"/>
        <v>36.5222648971674</v>
      </c>
      <c r="AA93" s="7">
        <f t="shared" si="63"/>
        <v>110.01439989628705</v>
      </c>
      <c r="AB93" s="8">
        <f t="shared" si="64"/>
        <v>110.01439989628705</v>
      </c>
      <c r="AC93" s="9">
        <f t="shared" si="65"/>
        <v>-0.3422563013351661</v>
      </c>
      <c r="AD93" s="9">
        <f t="shared" si="66"/>
        <v>0.7550919949942047</v>
      </c>
      <c r="AE93" s="9">
        <f t="shared" si="67"/>
        <v>0.5591929034707469</v>
      </c>
      <c r="AF93" s="10">
        <f t="shared" si="68"/>
        <v>270</v>
      </c>
      <c r="AG93" s="8">
        <f t="shared" si="69"/>
        <v>34</v>
      </c>
      <c r="AH93" s="9">
        <f t="shared" si="70"/>
        <v>-5.8298631700172E-05</v>
      </c>
      <c r="AI93" s="11"/>
      <c r="AJ93" s="16"/>
      <c r="AK93" s="77"/>
      <c r="AL93" s="78"/>
      <c r="AM93" s="5"/>
      <c r="AN93" s="3"/>
      <c r="AO93" s="6"/>
      <c r="AP93" s="10"/>
      <c r="AQ93" s="7"/>
      <c r="AR93" s="10"/>
      <c r="AS93" s="17"/>
    </row>
    <row r="94" spans="1:45" ht="15">
      <c r="A94" s="11" t="s">
        <v>45</v>
      </c>
      <c r="B94" s="12" t="s">
        <v>46</v>
      </c>
      <c r="C94" s="13">
        <v>8</v>
      </c>
      <c r="D94" s="14">
        <v>1</v>
      </c>
      <c r="E94" s="15" t="s">
        <v>48</v>
      </c>
      <c r="F94" s="13"/>
      <c r="G94" s="58">
        <f>61.5+J94/100</f>
        <v>62.66</v>
      </c>
      <c r="H94" s="58">
        <f>61.5+K94/100</f>
        <v>62.68</v>
      </c>
      <c r="I94" s="1">
        <f t="shared" si="55"/>
        <v>62.67</v>
      </c>
      <c r="J94" s="51">
        <v>116</v>
      </c>
      <c r="K94" s="51">
        <v>118</v>
      </c>
      <c r="L94" s="14">
        <f t="shared" si="74"/>
        <v>117</v>
      </c>
      <c r="M94" s="52">
        <v>0</v>
      </c>
      <c r="N94" s="53">
        <v>22</v>
      </c>
      <c r="O94" s="53">
        <v>270</v>
      </c>
      <c r="P94" s="53">
        <v>3</v>
      </c>
      <c r="Q94" s="16"/>
      <c r="R94" s="54"/>
      <c r="S94" s="2">
        <f t="shared" si="56"/>
        <v>0.37409320809892804</v>
      </c>
      <c r="T94" s="2">
        <f t="shared" si="57"/>
        <v>-0.04852505364177145</v>
      </c>
      <c r="U94" s="2">
        <f t="shared" si="58"/>
        <v>-0.9259131813179834</v>
      </c>
      <c r="V94" s="3">
        <f t="shared" si="59"/>
        <v>352.60921368067466</v>
      </c>
      <c r="W94" s="4">
        <f t="shared" si="60"/>
        <v>-67.83347501209849</v>
      </c>
      <c r="X94" s="5">
        <f t="shared" si="73"/>
        <v>352.60921368067466</v>
      </c>
      <c r="Y94" s="3">
        <f t="shared" si="61"/>
        <v>262.60921368067466</v>
      </c>
      <c r="Z94" s="6">
        <f t="shared" si="62"/>
        <v>22.16652498790151</v>
      </c>
      <c r="AA94" s="7">
        <f t="shared" si="63"/>
        <v>7.9733142323327515</v>
      </c>
      <c r="AB94" s="8">
        <f t="shared" si="64"/>
        <v>7.9733142323327515</v>
      </c>
      <c r="AC94" s="9">
        <f t="shared" si="65"/>
        <v>0.9903327818304916</v>
      </c>
      <c r="AD94" s="9">
        <f t="shared" si="66"/>
        <v>0.12845983386263826</v>
      </c>
      <c r="AE94" s="9">
        <f t="shared" si="67"/>
        <v>0.05233595624294424</v>
      </c>
      <c r="AF94" s="10">
        <f t="shared" si="68"/>
        <v>270</v>
      </c>
      <c r="AG94" s="8">
        <f t="shared" si="69"/>
        <v>3.000000000000023</v>
      </c>
      <c r="AH94" s="9">
        <f t="shared" si="70"/>
        <v>1.5787536541730265E-05</v>
      </c>
      <c r="AI94" s="11"/>
      <c r="AJ94" s="16"/>
      <c r="AK94" s="77"/>
      <c r="AL94" s="78"/>
      <c r="AM94" s="5"/>
      <c r="AN94" s="3"/>
      <c r="AO94" s="6"/>
      <c r="AP94" s="10"/>
      <c r="AQ94" s="7"/>
      <c r="AR94" s="10"/>
      <c r="AS94" s="17"/>
    </row>
    <row r="95" spans="1:45" ht="15">
      <c r="A95" s="11" t="s">
        <v>45</v>
      </c>
      <c r="B95" s="12" t="s">
        <v>46</v>
      </c>
      <c r="C95" s="13">
        <v>8</v>
      </c>
      <c r="D95" s="14">
        <v>2</v>
      </c>
      <c r="E95" s="19" t="s">
        <v>47</v>
      </c>
      <c r="F95" s="13" t="s">
        <v>55</v>
      </c>
      <c r="G95" s="16">
        <f>62.9+J95/100</f>
        <v>63.18</v>
      </c>
      <c r="H95" s="16">
        <f>62.9+K95/100</f>
        <v>63.199999999999996</v>
      </c>
      <c r="I95" s="1">
        <f t="shared" si="55"/>
        <v>63.19</v>
      </c>
      <c r="J95" s="51">
        <v>28</v>
      </c>
      <c r="K95" s="51">
        <v>30</v>
      </c>
      <c r="L95" s="14">
        <f t="shared" si="74"/>
        <v>29</v>
      </c>
      <c r="M95" s="52">
        <v>0</v>
      </c>
      <c r="N95" s="53">
        <v>43</v>
      </c>
      <c r="O95" s="53">
        <v>270</v>
      </c>
      <c r="P95" s="53">
        <v>62</v>
      </c>
      <c r="Q95" s="16"/>
      <c r="R95" s="54"/>
      <c r="S95" s="2">
        <f t="shared" si="56"/>
        <v>0.32017883591595586</v>
      </c>
      <c r="T95" s="2">
        <f t="shared" si="57"/>
        <v>-0.6457469903731127</v>
      </c>
      <c r="U95" s="2">
        <f t="shared" si="58"/>
        <v>-0.3433497652483981</v>
      </c>
      <c r="V95" s="3">
        <f t="shared" si="59"/>
        <v>296.37345890552814</v>
      </c>
      <c r="W95" s="4">
        <f t="shared" si="60"/>
        <v>-25.471628982715064</v>
      </c>
      <c r="X95" s="5">
        <f t="shared" si="73"/>
        <v>296.37345890552814</v>
      </c>
      <c r="Y95" s="3">
        <f t="shared" si="61"/>
        <v>206.37345890552814</v>
      </c>
      <c r="Z95" s="6">
        <f t="shared" si="62"/>
        <v>64.52837101728494</v>
      </c>
      <c r="AA95" s="7">
        <f t="shared" si="63"/>
        <v>77.96268075975664</v>
      </c>
      <c r="AB95" s="8">
        <f t="shared" si="64"/>
        <v>77.96268075975664</v>
      </c>
      <c r="AC95" s="9">
        <f t="shared" si="65"/>
        <v>0.20854875686542015</v>
      </c>
      <c r="AD95" s="9">
        <f t="shared" si="66"/>
        <v>0.4206078509425548</v>
      </c>
      <c r="AE95" s="9">
        <f t="shared" si="67"/>
        <v>0.8829475928589271</v>
      </c>
      <c r="AF95" s="10">
        <f t="shared" si="68"/>
        <v>270</v>
      </c>
      <c r="AG95" s="8">
        <f t="shared" si="69"/>
        <v>62.00000000000003</v>
      </c>
      <c r="AH95" s="9">
        <f t="shared" si="70"/>
        <v>5.608918364924677E-05</v>
      </c>
      <c r="AI95" s="11"/>
      <c r="AJ95" s="16"/>
      <c r="AK95" s="77"/>
      <c r="AL95" s="78"/>
      <c r="AM95" s="5"/>
      <c r="AN95" s="3"/>
      <c r="AO95" s="6"/>
      <c r="AP95" s="10"/>
      <c r="AQ95" s="7"/>
      <c r="AR95" s="10"/>
      <c r="AS95" s="17"/>
    </row>
    <row r="96" spans="1:45" ht="15">
      <c r="A96" s="11" t="s">
        <v>45</v>
      </c>
      <c r="B96" s="12" t="s">
        <v>46</v>
      </c>
      <c r="C96" s="13">
        <v>8</v>
      </c>
      <c r="D96" s="14">
        <v>2</v>
      </c>
      <c r="E96" s="15" t="s">
        <v>48</v>
      </c>
      <c r="F96" s="13"/>
      <c r="G96" s="16">
        <f>62.9+J96/100</f>
        <v>63.41</v>
      </c>
      <c r="H96" s="16">
        <f>62.9+K96/100</f>
        <v>63.42</v>
      </c>
      <c r="I96" s="1">
        <f t="shared" si="55"/>
        <v>63.415</v>
      </c>
      <c r="J96" s="51">
        <v>51</v>
      </c>
      <c r="K96" s="51">
        <v>52</v>
      </c>
      <c r="L96" s="14">
        <f t="shared" si="74"/>
        <v>51.5</v>
      </c>
      <c r="M96" s="52">
        <v>0</v>
      </c>
      <c r="N96" s="53">
        <v>8</v>
      </c>
      <c r="O96" s="53">
        <v>270</v>
      </c>
      <c r="P96" s="53">
        <v>9</v>
      </c>
      <c r="Q96" s="16"/>
      <c r="R96" s="54"/>
      <c r="S96" s="2">
        <f t="shared" si="56"/>
        <v>0.1374596491427266</v>
      </c>
      <c r="T96" s="2">
        <f t="shared" si="57"/>
        <v>-0.15491205558001014</v>
      </c>
      <c r="U96" s="2">
        <f t="shared" si="58"/>
        <v>-0.9780762255597134</v>
      </c>
      <c r="V96" s="3">
        <f t="shared" si="59"/>
        <v>311.58392356235925</v>
      </c>
      <c r="W96" s="4">
        <f t="shared" si="60"/>
        <v>-78.04431351289413</v>
      </c>
      <c r="X96" s="5">
        <f t="shared" si="73"/>
        <v>311.58392356235925</v>
      </c>
      <c r="Y96" s="3">
        <f t="shared" si="61"/>
        <v>221.58392356235925</v>
      </c>
      <c r="Z96" s="6">
        <f t="shared" si="62"/>
        <v>11.955686487105865</v>
      </c>
      <c r="AA96" s="7">
        <f t="shared" si="63"/>
        <v>49.03901882244954</v>
      </c>
      <c r="AB96" s="8">
        <f t="shared" si="64"/>
        <v>49.03901882244954</v>
      </c>
      <c r="AC96" s="9">
        <f t="shared" si="65"/>
        <v>0.6555449144516236</v>
      </c>
      <c r="AD96" s="9">
        <f t="shared" si="66"/>
        <v>0.738775421413159</v>
      </c>
      <c r="AE96" s="9">
        <f t="shared" si="67"/>
        <v>0.15643446504023004</v>
      </c>
      <c r="AF96" s="10">
        <f t="shared" si="68"/>
        <v>270</v>
      </c>
      <c r="AG96" s="8">
        <f t="shared" si="69"/>
        <v>8.99999999999995</v>
      </c>
      <c r="AH96" s="9">
        <f t="shared" si="70"/>
        <v>3.123774060296447E-05</v>
      </c>
      <c r="AI96" s="11"/>
      <c r="AJ96" s="16"/>
      <c r="AK96" s="77"/>
      <c r="AL96" s="78"/>
      <c r="AM96" s="5"/>
      <c r="AN96" s="3"/>
      <c r="AO96" s="6"/>
      <c r="AP96" s="10"/>
      <c r="AQ96" s="7"/>
      <c r="AR96" s="10"/>
      <c r="AS96" s="17"/>
    </row>
    <row r="97" spans="1:45" ht="15">
      <c r="A97" s="11" t="s">
        <v>45</v>
      </c>
      <c r="B97" s="12" t="s">
        <v>46</v>
      </c>
      <c r="C97" s="13">
        <v>8</v>
      </c>
      <c r="D97" s="14">
        <v>3</v>
      </c>
      <c r="E97" s="15" t="s">
        <v>48</v>
      </c>
      <c r="F97" s="13"/>
      <c r="G97" s="16">
        <f>64.32+J97/100</f>
        <v>64.75999999999999</v>
      </c>
      <c r="H97" s="16">
        <f>64.32+K97/100</f>
        <v>64.77</v>
      </c>
      <c r="I97" s="1">
        <f t="shared" si="55"/>
        <v>64.76499999999999</v>
      </c>
      <c r="J97" s="51">
        <v>44</v>
      </c>
      <c r="K97" s="51">
        <v>45</v>
      </c>
      <c r="L97" s="14">
        <f t="shared" si="74"/>
        <v>44.5</v>
      </c>
      <c r="M97" s="52">
        <v>180</v>
      </c>
      <c r="N97" s="53">
        <v>2</v>
      </c>
      <c r="O97" s="53">
        <v>270</v>
      </c>
      <c r="P97" s="53">
        <v>0</v>
      </c>
      <c r="Q97" s="16"/>
      <c r="R97" s="54"/>
      <c r="S97" s="2">
        <f t="shared" si="56"/>
        <v>0.03489949670250097</v>
      </c>
      <c r="T97" s="2">
        <f t="shared" si="57"/>
        <v>-6.4135596693236316E-18</v>
      </c>
      <c r="U97" s="2">
        <f t="shared" si="58"/>
        <v>0.9993908270190958</v>
      </c>
      <c r="V97" s="3">
        <f t="shared" si="59"/>
        <v>360</v>
      </c>
      <c r="W97" s="4">
        <f t="shared" si="60"/>
        <v>88.00000000000006</v>
      </c>
      <c r="X97" s="5">
        <f t="shared" si="73"/>
        <v>180</v>
      </c>
      <c r="Y97" s="3">
        <f t="shared" si="61"/>
        <v>90</v>
      </c>
      <c r="Z97" s="6">
        <f t="shared" si="62"/>
        <v>1.9999999999999432</v>
      </c>
      <c r="AA97" s="7">
        <f t="shared" si="63"/>
        <v>0</v>
      </c>
      <c r="AB97" s="8">
        <f t="shared" si="64"/>
        <v>0</v>
      </c>
      <c r="AC97" s="9">
        <f t="shared" si="65"/>
        <v>1</v>
      </c>
      <c r="AD97" s="9">
        <f t="shared" si="66"/>
        <v>0</v>
      </c>
      <c r="AE97" s="9">
        <f t="shared" si="67"/>
        <v>0</v>
      </c>
      <c r="AF97" s="10">
        <f t="shared" si="68"/>
        <v>90</v>
      </c>
      <c r="AG97" s="8">
        <f t="shared" si="69"/>
        <v>0</v>
      </c>
      <c r="AH97" s="9">
        <f t="shared" si="70"/>
        <v>0</v>
      </c>
      <c r="AI97" s="11"/>
      <c r="AJ97" s="16"/>
      <c r="AK97" s="77"/>
      <c r="AL97" s="78"/>
      <c r="AM97" s="5"/>
      <c r="AN97" s="3"/>
      <c r="AO97" s="6"/>
      <c r="AP97" s="10"/>
      <c r="AQ97" s="7"/>
      <c r="AR97" s="10"/>
      <c r="AS97" s="17"/>
    </row>
    <row r="98" spans="1:45" ht="15">
      <c r="A98" s="11" t="s">
        <v>45</v>
      </c>
      <c r="B98" s="12" t="s">
        <v>46</v>
      </c>
      <c r="C98" s="13">
        <v>8</v>
      </c>
      <c r="D98" s="14">
        <v>4</v>
      </c>
      <c r="E98" s="15" t="s">
        <v>48</v>
      </c>
      <c r="F98" s="13"/>
      <c r="G98" s="16">
        <f>65.75+J98/100</f>
        <v>65.95</v>
      </c>
      <c r="H98" s="16">
        <f>65.75+K98/100</f>
        <v>65.96</v>
      </c>
      <c r="I98" s="1">
        <f t="shared" si="55"/>
        <v>65.955</v>
      </c>
      <c r="J98" s="51">
        <v>20</v>
      </c>
      <c r="K98" s="51">
        <v>21</v>
      </c>
      <c r="L98" s="14">
        <f t="shared" si="74"/>
        <v>20.5</v>
      </c>
      <c r="M98" s="52">
        <v>0</v>
      </c>
      <c r="N98" s="53">
        <v>0</v>
      </c>
      <c r="O98" s="53">
        <v>270</v>
      </c>
      <c r="P98" s="53">
        <v>0</v>
      </c>
      <c r="Q98" s="16"/>
      <c r="R98" s="54"/>
      <c r="S98" s="2">
        <f t="shared" si="56"/>
        <v>0</v>
      </c>
      <c r="T98" s="2">
        <f t="shared" si="57"/>
        <v>0</v>
      </c>
      <c r="U98" s="2">
        <f t="shared" si="58"/>
        <v>-1</v>
      </c>
      <c r="V98" s="3">
        <f t="shared" si="59"/>
        <v>90</v>
      </c>
      <c r="W98" s="4">
        <f t="shared" si="60"/>
        <v>-90</v>
      </c>
      <c r="X98" s="5">
        <f t="shared" si="73"/>
        <v>90</v>
      </c>
      <c r="Y98" s="3">
        <f t="shared" si="61"/>
        <v>0</v>
      </c>
      <c r="Z98" s="6">
        <f t="shared" si="62"/>
        <v>0</v>
      </c>
      <c r="AA98" s="7">
        <f t="shared" si="63"/>
        <v>90</v>
      </c>
      <c r="AB98" s="8">
        <f t="shared" si="64"/>
        <v>90</v>
      </c>
      <c r="AC98" s="9">
        <f t="shared" si="65"/>
        <v>6.1257422745431E-17</v>
      </c>
      <c r="AD98" s="9">
        <f t="shared" si="66"/>
        <v>1</v>
      </c>
      <c r="AE98" s="9">
        <f t="shared" si="67"/>
        <v>0</v>
      </c>
      <c r="AF98" s="10">
        <f t="shared" si="68"/>
        <v>90</v>
      </c>
      <c r="AG98" s="8">
        <f t="shared" si="69"/>
        <v>0</v>
      </c>
      <c r="AH98" s="9">
        <f t="shared" si="70"/>
        <v>0</v>
      </c>
      <c r="AI98" s="11"/>
      <c r="AJ98" s="16"/>
      <c r="AK98" s="77"/>
      <c r="AL98" s="78"/>
      <c r="AM98" s="5"/>
      <c r="AN98" s="3"/>
      <c r="AO98" s="6"/>
      <c r="AP98" s="10"/>
      <c r="AQ98" s="7"/>
      <c r="AR98" s="10"/>
      <c r="AS98" s="17"/>
    </row>
    <row r="99" spans="1:45" ht="15">
      <c r="A99" s="11" t="s">
        <v>45</v>
      </c>
      <c r="B99" s="12" t="s">
        <v>46</v>
      </c>
      <c r="C99" s="13">
        <v>8</v>
      </c>
      <c r="D99" s="14">
        <v>4</v>
      </c>
      <c r="E99" s="15" t="s">
        <v>48</v>
      </c>
      <c r="F99" s="13"/>
      <c r="G99" s="16">
        <f>65.75+J99/100</f>
        <v>66.37</v>
      </c>
      <c r="H99" s="16">
        <f>65.75+K99/100</f>
        <v>66.38</v>
      </c>
      <c r="I99" s="1">
        <f aca="true" t="shared" si="75" ref="I99:I130">(G99+H99)/2</f>
        <v>66.375</v>
      </c>
      <c r="J99" s="51">
        <v>62</v>
      </c>
      <c r="K99" s="51">
        <v>63</v>
      </c>
      <c r="L99" s="14">
        <f t="shared" si="74"/>
        <v>62.5</v>
      </c>
      <c r="M99" s="52">
        <v>180</v>
      </c>
      <c r="N99" s="53">
        <v>12</v>
      </c>
      <c r="O99" s="53">
        <v>270</v>
      </c>
      <c r="P99" s="53">
        <v>0</v>
      </c>
      <c r="Q99" s="16"/>
      <c r="R99" s="54"/>
      <c r="S99" s="2">
        <f aca="true" t="shared" si="76" ref="S99:S130">COS(N99*PI()/180)*SIN(M99*PI()/180)*(SIN(P99*PI()/180))-(COS(P99*PI()/180)*SIN(O99*PI()/180))*(SIN(N99*PI()/180))</f>
        <v>0.20791169081775931</v>
      </c>
      <c r="T99" s="2">
        <f aca="true" t="shared" si="77" ref="T99:T130">(SIN(N99*PI()/180))*(COS(P99*PI()/180)*COS(O99*PI()/180))-(SIN(P99*PI()/180))*(COS(N99*PI()/180)*COS(M99*PI()/180))</f>
        <v>-3.820840301442248E-17</v>
      </c>
      <c r="U99" s="2">
        <f aca="true" t="shared" si="78" ref="U99:U130">(COS(N99*PI()/180)*COS(M99*PI()/180))*(COS(P99*PI()/180)*SIN(O99*PI()/180))-(COS(N99*PI()/180)*SIN(M99*PI()/180))*(COS(P99*PI()/180)*COS(O99*PI()/180))</f>
        <v>0.9781476007338057</v>
      </c>
      <c r="V99" s="3">
        <f aca="true" t="shared" si="79" ref="V99:V130">IF(S99=0,IF(T99&gt;=0,90,270),IF(S99&gt;0,IF(T99&gt;=0,ATAN(T99/S99)*180/PI(),ATAN(T99/S99)*180/PI()+360),ATAN(T99/S99)*180/PI()+180))</f>
        <v>360</v>
      </c>
      <c r="W99" s="4">
        <f aca="true" t="shared" si="80" ref="W99:W130">ASIN(U99/SQRT(S99^2+T99^2+U99^2))*180/PI()</f>
        <v>78.00000000000003</v>
      </c>
      <c r="X99" s="5">
        <f t="shared" si="73"/>
        <v>180</v>
      </c>
      <c r="Y99" s="3">
        <f aca="true" t="shared" si="81" ref="Y99:Y130">IF(X99-90&lt;0,X99+270,X99-90)</f>
        <v>90</v>
      </c>
      <c r="Z99" s="6">
        <f aca="true" t="shared" si="82" ref="Z99:Z130">IF(U99&lt;0,90+W99,90-W99)</f>
        <v>11.999999999999972</v>
      </c>
      <c r="AA99" s="7">
        <f aca="true" t="shared" si="83" ref="AA99:AA130">IF(-T99&lt;0,180-ACOS(SIN((X99-90)*PI()/180)*U99/SQRT(T99^2+U99^2))*180/PI(),ACOS(SIN((X99-90)*PI()/180)*U99/SQRT(T99^2+U99^2))*180/PI())</f>
        <v>0</v>
      </c>
      <c r="AB99" s="8">
        <f aca="true" t="shared" si="84" ref="AB99:AB130">IF(R99=90,IF(AA99-Q99&lt;0,AA99-Q99+180,AA99-Q99),IF(AA99+Q99&gt;180,AA99+Q99-180,AA99+Q99))</f>
        <v>0</v>
      </c>
      <c r="AC99" s="9">
        <f aca="true" t="shared" si="85" ref="AC99:AC130">COS(AB99*PI()/180)</f>
        <v>1</v>
      </c>
      <c r="AD99" s="9">
        <f aca="true" t="shared" si="86" ref="AD99:AD130">SIN(AB99*PI()/180)*COS(Z99*PI()/180)</f>
        <v>0</v>
      </c>
      <c r="AE99" s="9">
        <f aca="true" t="shared" si="87" ref="AE99:AE130">SIN(AB99*PI()/180)*SIN(Z99*PI()/180)</f>
        <v>0</v>
      </c>
      <c r="AF99" s="10">
        <f aca="true" t="shared" si="88" ref="AF99:AF130">IF(IF(AC99=0,IF(AD99&gt;=0,90,270),IF(AC99&gt;0,IF(AD99&gt;=0,ATAN(AD99/AC99)*180/PI(),ATAN(AD99/AC99)*180/PI()+360),ATAN(AD99/AC99)*180/PI()+180))-(360-Y99)&lt;0,IF(AC99=0,IF(AD99&gt;=0,90,270),IF(AC99&gt;0,IF(AD99&gt;=0,ATAN(AD99/AC99)*180/PI(),ATAN(AD99/AC99)*180/PI()+360),ATAN(AD99/AC99)*180/PI()+180))+Y99,IF(AC99=0,IF(AD99&gt;=0,90,270),IF(AC99&gt;0,IF(AD99&gt;=0,ATAN(AD99/AC99)*180/PI(),ATAN(AD99/AC99)*180/PI()+360),ATAN(AD99/AC99)*180/PI()+180))-(360-Y99))</f>
        <v>90</v>
      </c>
      <c r="AG99" s="8">
        <f aca="true" t="shared" si="89" ref="AG99:AG130">ASIN(AE99/SQRT(AC99^2+AD99^2+AE99^2))*180/PI()</f>
        <v>0</v>
      </c>
      <c r="AH99" s="9">
        <f aca="true" t="shared" si="90" ref="AH99:AH130">SIN(AE99*PI()/180)*SIN(AC99*PI()/180)</f>
        <v>0</v>
      </c>
      <c r="AI99" s="11"/>
      <c r="AJ99" s="16"/>
      <c r="AK99" s="77"/>
      <c r="AL99" s="78"/>
      <c r="AM99" s="5"/>
      <c r="AN99" s="3"/>
      <c r="AO99" s="6"/>
      <c r="AP99" s="10"/>
      <c r="AQ99" s="7"/>
      <c r="AR99" s="10"/>
      <c r="AS99" s="17"/>
    </row>
    <row r="100" spans="1:45" ht="15">
      <c r="A100" s="11" t="s">
        <v>45</v>
      </c>
      <c r="B100" s="12" t="s">
        <v>46</v>
      </c>
      <c r="C100" s="13">
        <v>8</v>
      </c>
      <c r="D100" s="14">
        <v>6</v>
      </c>
      <c r="E100" s="15" t="s">
        <v>48</v>
      </c>
      <c r="F100" s="13"/>
      <c r="G100" s="16">
        <f>66.81+J100/100</f>
        <v>67.02</v>
      </c>
      <c r="H100" s="16">
        <f>66.81+K100/100</f>
        <v>67.03</v>
      </c>
      <c r="I100" s="1">
        <f t="shared" si="75"/>
        <v>67.025</v>
      </c>
      <c r="J100" s="51">
        <v>21</v>
      </c>
      <c r="K100" s="51">
        <v>22</v>
      </c>
      <c r="L100" s="14">
        <f t="shared" si="74"/>
        <v>21.5</v>
      </c>
      <c r="M100" s="52">
        <v>0</v>
      </c>
      <c r="N100" s="53">
        <v>2</v>
      </c>
      <c r="O100" s="53">
        <v>270</v>
      </c>
      <c r="P100" s="53">
        <v>5</v>
      </c>
      <c r="Q100" s="16"/>
      <c r="R100" s="54"/>
      <c r="S100" s="2">
        <f t="shared" si="76"/>
        <v>0.03476669358110182</v>
      </c>
      <c r="T100" s="2">
        <f t="shared" si="77"/>
        <v>-0.08710264982404566</v>
      </c>
      <c r="U100" s="2">
        <f t="shared" si="78"/>
        <v>-0.995587843197948</v>
      </c>
      <c r="V100" s="3">
        <f t="shared" si="79"/>
        <v>291.7592264795576</v>
      </c>
      <c r="W100" s="4">
        <f t="shared" si="80"/>
        <v>-84.61859152100902</v>
      </c>
      <c r="X100" s="5">
        <f t="shared" si="73"/>
        <v>291.7592264795576</v>
      </c>
      <c r="Y100" s="3">
        <f t="shared" si="81"/>
        <v>201.75922647955758</v>
      </c>
      <c r="Z100" s="6">
        <f t="shared" si="82"/>
        <v>5.381408478990977</v>
      </c>
      <c r="AA100" s="7">
        <f t="shared" si="83"/>
        <v>68.32777213861824</v>
      </c>
      <c r="AB100" s="8">
        <f t="shared" si="84"/>
        <v>68.32777213861824</v>
      </c>
      <c r="AC100" s="9">
        <f t="shared" si="85"/>
        <v>0.36929634912042175</v>
      </c>
      <c r="AD100" s="9">
        <f t="shared" si="86"/>
        <v>0.9252156954096875</v>
      </c>
      <c r="AE100" s="9">
        <f t="shared" si="87"/>
        <v>0.08715574274765793</v>
      </c>
      <c r="AF100" s="10">
        <f t="shared" si="88"/>
        <v>270</v>
      </c>
      <c r="AG100" s="8">
        <f t="shared" si="89"/>
        <v>4.999999999999987</v>
      </c>
      <c r="AH100" s="9">
        <f t="shared" si="90"/>
        <v>9.804435261072083E-06</v>
      </c>
      <c r="AI100" s="11"/>
      <c r="AJ100" s="16"/>
      <c r="AK100" s="77"/>
      <c r="AL100" s="78"/>
      <c r="AM100" s="5"/>
      <c r="AN100" s="3"/>
      <c r="AO100" s="6"/>
      <c r="AP100" s="10"/>
      <c r="AQ100" s="7"/>
      <c r="AR100" s="10"/>
      <c r="AS100" s="17"/>
    </row>
    <row r="101" spans="1:45" ht="15">
      <c r="A101" s="11" t="s">
        <v>45</v>
      </c>
      <c r="B101" s="12" t="s">
        <v>46</v>
      </c>
      <c r="C101" s="13">
        <v>8</v>
      </c>
      <c r="D101" s="14">
        <v>6</v>
      </c>
      <c r="E101" s="15" t="s">
        <v>48</v>
      </c>
      <c r="F101" s="13"/>
      <c r="G101" s="16">
        <f>66.81+J101/100</f>
        <v>67.10000000000001</v>
      </c>
      <c r="H101" s="16">
        <f>66.81+K101/100</f>
        <v>67.11</v>
      </c>
      <c r="I101" s="1">
        <f t="shared" si="75"/>
        <v>67.105</v>
      </c>
      <c r="J101" s="51">
        <v>29</v>
      </c>
      <c r="K101" s="51">
        <v>30</v>
      </c>
      <c r="L101" s="14">
        <f t="shared" si="74"/>
        <v>29.5</v>
      </c>
      <c r="M101" s="52">
        <v>0</v>
      </c>
      <c r="N101" s="53">
        <v>0</v>
      </c>
      <c r="O101" s="53">
        <v>270</v>
      </c>
      <c r="P101" s="53">
        <v>0</v>
      </c>
      <c r="Q101" s="16"/>
      <c r="R101" s="54"/>
      <c r="S101" s="2">
        <f t="shared" si="76"/>
        <v>0</v>
      </c>
      <c r="T101" s="2">
        <f t="shared" si="77"/>
        <v>0</v>
      </c>
      <c r="U101" s="2">
        <f t="shared" si="78"/>
        <v>-1</v>
      </c>
      <c r="V101" s="3">
        <f t="shared" si="79"/>
        <v>90</v>
      </c>
      <c r="W101" s="4">
        <f t="shared" si="80"/>
        <v>-90</v>
      </c>
      <c r="X101" s="5">
        <f t="shared" si="73"/>
        <v>90</v>
      </c>
      <c r="Y101" s="3">
        <f t="shared" si="81"/>
        <v>0</v>
      </c>
      <c r="Z101" s="6">
        <f t="shared" si="82"/>
        <v>0</v>
      </c>
      <c r="AA101" s="7">
        <f t="shared" si="83"/>
        <v>90</v>
      </c>
      <c r="AB101" s="8">
        <f t="shared" si="84"/>
        <v>90</v>
      </c>
      <c r="AC101" s="9">
        <f t="shared" si="85"/>
        <v>6.1257422745431E-17</v>
      </c>
      <c r="AD101" s="9">
        <f t="shared" si="86"/>
        <v>1</v>
      </c>
      <c r="AE101" s="9">
        <f t="shared" si="87"/>
        <v>0</v>
      </c>
      <c r="AF101" s="10">
        <f t="shared" si="88"/>
        <v>90</v>
      </c>
      <c r="AG101" s="8">
        <f t="shared" si="89"/>
        <v>0</v>
      </c>
      <c r="AH101" s="9">
        <f t="shared" si="90"/>
        <v>0</v>
      </c>
      <c r="AI101" s="11"/>
      <c r="AJ101" s="16"/>
      <c r="AK101" s="77"/>
      <c r="AL101" s="78"/>
      <c r="AM101" s="5"/>
      <c r="AN101" s="3"/>
      <c r="AO101" s="6"/>
      <c r="AP101" s="10"/>
      <c r="AQ101" s="7"/>
      <c r="AR101" s="10"/>
      <c r="AS101" s="17"/>
    </row>
    <row r="102" spans="1:45" ht="15">
      <c r="A102" s="11" t="s">
        <v>45</v>
      </c>
      <c r="B102" s="12" t="s">
        <v>46</v>
      </c>
      <c r="C102" s="13">
        <v>8</v>
      </c>
      <c r="D102" s="14">
        <v>5</v>
      </c>
      <c r="E102" s="15" t="s">
        <v>48</v>
      </c>
      <c r="F102" s="13"/>
      <c r="G102" s="16">
        <f>66.5+J102/100</f>
        <v>67.35</v>
      </c>
      <c r="H102" s="16">
        <f>66.5+K102/100</f>
        <v>67.36</v>
      </c>
      <c r="I102" s="1">
        <f t="shared" si="75"/>
        <v>67.35499999999999</v>
      </c>
      <c r="J102" s="51">
        <v>85</v>
      </c>
      <c r="K102" s="51">
        <v>86</v>
      </c>
      <c r="L102" s="14">
        <f t="shared" si="74"/>
        <v>85.5</v>
      </c>
      <c r="M102" s="52">
        <v>180</v>
      </c>
      <c r="N102" s="53">
        <v>0</v>
      </c>
      <c r="O102" s="53">
        <v>270</v>
      </c>
      <c r="P102" s="53">
        <v>0</v>
      </c>
      <c r="Q102" s="16"/>
      <c r="R102" s="54"/>
      <c r="S102" s="2">
        <f t="shared" si="76"/>
        <v>0</v>
      </c>
      <c r="T102" s="2">
        <f t="shared" si="77"/>
        <v>0</v>
      </c>
      <c r="U102" s="2">
        <f t="shared" si="78"/>
        <v>1</v>
      </c>
      <c r="V102" s="3">
        <f t="shared" si="79"/>
        <v>90</v>
      </c>
      <c r="W102" s="4">
        <f t="shared" si="80"/>
        <v>90</v>
      </c>
      <c r="X102" s="5">
        <f t="shared" si="73"/>
        <v>270</v>
      </c>
      <c r="Y102" s="3">
        <f t="shared" si="81"/>
        <v>180</v>
      </c>
      <c r="Z102" s="6">
        <f t="shared" si="82"/>
        <v>0</v>
      </c>
      <c r="AA102" s="7">
        <f t="shared" si="83"/>
        <v>89.99999999999999</v>
      </c>
      <c r="AB102" s="8">
        <f t="shared" si="84"/>
        <v>89.99999999999999</v>
      </c>
      <c r="AC102" s="9">
        <f t="shared" si="85"/>
        <v>2.833020276704623E-16</v>
      </c>
      <c r="AD102" s="9">
        <f t="shared" si="86"/>
        <v>1</v>
      </c>
      <c r="AE102" s="9">
        <f t="shared" si="87"/>
        <v>0</v>
      </c>
      <c r="AF102" s="10">
        <f t="shared" si="88"/>
        <v>270</v>
      </c>
      <c r="AG102" s="8">
        <f t="shared" si="89"/>
        <v>0</v>
      </c>
      <c r="AH102" s="9">
        <f t="shared" si="90"/>
        <v>0</v>
      </c>
      <c r="AI102" s="11"/>
      <c r="AJ102" s="16"/>
      <c r="AK102" s="77"/>
      <c r="AL102" s="78"/>
      <c r="AM102" s="5"/>
      <c r="AN102" s="3"/>
      <c r="AO102" s="6"/>
      <c r="AP102" s="10"/>
      <c r="AQ102" s="7"/>
      <c r="AR102" s="10"/>
      <c r="AS102" s="17"/>
    </row>
    <row r="103" spans="1:45" ht="15">
      <c r="A103" s="11" t="s">
        <v>45</v>
      </c>
      <c r="B103" s="12" t="s">
        <v>46</v>
      </c>
      <c r="C103" s="13">
        <v>9</v>
      </c>
      <c r="D103" s="14">
        <v>1</v>
      </c>
      <c r="E103" s="19" t="s">
        <v>47</v>
      </c>
      <c r="F103" s="13" t="s">
        <v>56</v>
      </c>
      <c r="G103" s="16">
        <f>71+J103/100</f>
        <v>71.69</v>
      </c>
      <c r="H103" s="16">
        <f>71+K103/100</f>
        <v>72.01</v>
      </c>
      <c r="I103" s="1">
        <f t="shared" si="75"/>
        <v>71.85</v>
      </c>
      <c r="J103" s="51">
        <v>69</v>
      </c>
      <c r="K103" s="51">
        <v>101</v>
      </c>
      <c r="L103" s="14">
        <f t="shared" si="74"/>
        <v>85</v>
      </c>
      <c r="M103" s="52">
        <v>0</v>
      </c>
      <c r="N103" s="53">
        <v>38</v>
      </c>
      <c r="O103" s="53">
        <v>90</v>
      </c>
      <c r="P103" s="53">
        <v>31</v>
      </c>
      <c r="Q103" s="16"/>
      <c r="R103" s="54"/>
      <c r="S103" s="2">
        <f t="shared" si="76"/>
        <v>-0.5277248849511745</v>
      </c>
      <c r="T103" s="2">
        <f t="shared" si="77"/>
        <v>-0.40585554154602704</v>
      </c>
      <c r="U103" s="2">
        <f t="shared" si="78"/>
        <v>0.6754570505933113</v>
      </c>
      <c r="V103" s="3">
        <f t="shared" si="79"/>
        <v>217.56267925768395</v>
      </c>
      <c r="W103" s="4">
        <f t="shared" si="80"/>
        <v>45.41502232321291</v>
      </c>
      <c r="X103" s="5">
        <f t="shared" si="73"/>
        <v>37.56267925768395</v>
      </c>
      <c r="Y103" s="3">
        <f t="shared" si="81"/>
        <v>307.56267925768395</v>
      </c>
      <c r="Z103" s="6">
        <f t="shared" si="82"/>
        <v>44.58497767678709</v>
      </c>
      <c r="AA103" s="7">
        <f t="shared" si="83"/>
        <v>132.80187342685227</v>
      </c>
      <c r="AB103" s="8">
        <f t="shared" si="84"/>
        <v>132.80187342685227</v>
      </c>
      <c r="AC103" s="9">
        <f t="shared" si="85"/>
        <v>-0.6794652950062429</v>
      </c>
      <c r="AD103" s="9">
        <f t="shared" si="86"/>
        <v>0.5225540108687571</v>
      </c>
      <c r="AE103" s="9">
        <f t="shared" si="87"/>
        <v>0.5150380749100538</v>
      </c>
      <c r="AF103" s="10">
        <f t="shared" si="88"/>
        <v>90</v>
      </c>
      <c r="AG103" s="8">
        <f t="shared" si="89"/>
        <v>30.99999999999997</v>
      </c>
      <c r="AH103" s="9">
        <f t="shared" si="90"/>
        <v>-0.00010659708341250472</v>
      </c>
      <c r="AI103" s="11"/>
      <c r="AJ103" s="16"/>
      <c r="AK103" s="77"/>
      <c r="AL103" s="78"/>
      <c r="AM103" s="5"/>
      <c r="AN103" s="3"/>
      <c r="AO103" s="6"/>
      <c r="AP103" s="10"/>
      <c r="AQ103" s="7"/>
      <c r="AR103" s="10"/>
      <c r="AS103" s="17"/>
    </row>
    <row r="104" spans="1:45" ht="15">
      <c r="A104" s="11" t="s">
        <v>45</v>
      </c>
      <c r="B104" s="12" t="s">
        <v>46</v>
      </c>
      <c r="C104" s="13">
        <v>9</v>
      </c>
      <c r="D104" s="14">
        <v>1</v>
      </c>
      <c r="E104" s="15" t="s">
        <v>48</v>
      </c>
      <c r="F104" s="13"/>
      <c r="G104" s="16">
        <f>71+J104/100</f>
        <v>72.21</v>
      </c>
      <c r="H104" s="16">
        <f>71+K104/100</f>
        <v>72.26</v>
      </c>
      <c r="I104" s="1">
        <f t="shared" si="75"/>
        <v>72.235</v>
      </c>
      <c r="J104" s="51">
        <v>121</v>
      </c>
      <c r="K104" s="51">
        <v>126</v>
      </c>
      <c r="L104" s="14">
        <f t="shared" si="74"/>
        <v>123.5</v>
      </c>
      <c r="M104" s="52">
        <v>0</v>
      </c>
      <c r="N104" s="53">
        <v>0</v>
      </c>
      <c r="O104" s="53">
        <v>270</v>
      </c>
      <c r="P104" s="53">
        <v>0</v>
      </c>
      <c r="Q104" s="16"/>
      <c r="R104" s="54"/>
      <c r="S104" s="2">
        <f t="shared" si="76"/>
        <v>0</v>
      </c>
      <c r="T104" s="2">
        <f t="shared" si="77"/>
        <v>0</v>
      </c>
      <c r="U104" s="2">
        <f t="shared" si="78"/>
        <v>-1</v>
      </c>
      <c r="V104" s="3">
        <f t="shared" si="79"/>
        <v>90</v>
      </c>
      <c r="W104" s="4">
        <f t="shared" si="80"/>
        <v>-90</v>
      </c>
      <c r="X104" s="5">
        <f t="shared" si="73"/>
        <v>90</v>
      </c>
      <c r="Y104" s="3">
        <f t="shared" si="81"/>
        <v>0</v>
      </c>
      <c r="Z104" s="6">
        <f t="shared" si="82"/>
        <v>0</v>
      </c>
      <c r="AA104" s="7">
        <f t="shared" si="83"/>
        <v>90</v>
      </c>
      <c r="AB104" s="8">
        <f t="shared" si="84"/>
        <v>90</v>
      </c>
      <c r="AC104" s="9">
        <f t="shared" si="85"/>
        <v>6.1257422745431E-17</v>
      </c>
      <c r="AD104" s="9">
        <f t="shared" si="86"/>
        <v>1</v>
      </c>
      <c r="AE104" s="9">
        <f t="shared" si="87"/>
        <v>0</v>
      </c>
      <c r="AF104" s="10">
        <f t="shared" si="88"/>
        <v>90</v>
      </c>
      <c r="AG104" s="8">
        <f t="shared" si="89"/>
        <v>0</v>
      </c>
      <c r="AH104" s="9">
        <f t="shared" si="90"/>
        <v>0</v>
      </c>
      <c r="AI104" s="11"/>
      <c r="AJ104" s="16"/>
      <c r="AK104" s="77"/>
      <c r="AL104" s="78"/>
      <c r="AM104" s="5"/>
      <c r="AN104" s="3"/>
      <c r="AO104" s="6"/>
      <c r="AP104" s="10"/>
      <c r="AQ104" s="7"/>
      <c r="AR104" s="10"/>
      <c r="AS104" s="17"/>
    </row>
    <row r="105" spans="1:45" ht="15">
      <c r="A105" s="11" t="s">
        <v>45</v>
      </c>
      <c r="B105" s="12" t="s">
        <v>46</v>
      </c>
      <c r="C105" s="13">
        <v>9</v>
      </c>
      <c r="D105" s="14">
        <v>2</v>
      </c>
      <c r="E105" s="15" t="s">
        <v>48</v>
      </c>
      <c r="F105" s="13"/>
      <c r="G105" s="16">
        <f>72.4+J105/100</f>
        <v>72.7</v>
      </c>
      <c r="H105" s="16">
        <f>72.4+K105/100</f>
        <v>72.79</v>
      </c>
      <c r="I105" s="1">
        <f t="shared" si="75"/>
        <v>72.745</v>
      </c>
      <c r="J105" s="51">
        <v>30</v>
      </c>
      <c r="K105" s="51">
        <v>39</v>
      </c>
      <c r="L105" s="14">
        <f t="shared" si="74"/>
        <v>34.5</v>
      </c>
      <c r="M105" s="52">
        <v>0</v>
      </c>
      <c r="N105" s="53">
        <v>0</v>
      </c>
      <c r="O105" s="53">
        <v>270</v>
      </c>
      <c r="P105" s="53">
        <v>0</v>
      </c>
      <c r="Q105" s="16"/>
      <c r="R105" s="54"/>
      <c r="S105" s="2">
        <f t="shared" si="76"/>
        <v>0</v>
      </c>
      <c r="T105" s="2">
        <f t="shared" si="77"/>
        <v>0</v>
      </c>
      <c r="U105" s="2">
        <f t="shared" si="78"/>
        <v>-1</v>
      </c>
      <c r="V105" s="3">
        <f t="shared" si="79"/>
        <v>90</v>
      </c>
      <c r="W105" s="4">
        <f t="shared" si="80"/>
        <v>-90</v>
      </c>
      <c r="X105" s="5">
        <f t="shared" si="73"/>
        <v>90</v>
      </c>
      <c r="Y105" s="3">
        <f t="shared" si="81"/>
        <v>0</v>
      </c>
      <c r="Z105" s="6">
        <f t="shared" si="82"/>
        <v>0</v>
      </c>
      <c r="AA105" s="7">
        <f t="shared" si="83"/>
        <v>90</v>
      </c>
      <c r="AB105" s="8">
        <f t="shared" si="84"/>
        <v>90</v>
      </c>
      <c r="AC105" s="9">
        <f t="shared" si="85"/>
        <v>6.1257422745431E-17</v>
      </c>
      <c r="AD105" s="9">
        <f t="shared" si="86"/>
        <v>1</v>
      </c>
      <c r="AE105" s="9">
        <f t="shared" si="87"/>
        <v>0</v>
      </c>
      <c r="AF105" s="10">
        <f t="shared" si="88"/>
        <v>90</v>
      </c>
      <c r="AG105" s="8">
        <f t="shared" si="89"/>
        <v>0</v>
      </c>
      <c r="AH105" s="9">
        <f t="shared" si="90"/>
        <v>0</v>
      </c>
      <c r="AI105" s="11"/>
      <c r="AJ105" s="16"/>
      <c r="AK105" s="77"/>
      <c r="AL105" s="78"/>
      <c r="AM105" s="5"/>
      <c r="AN105" s="3"/>
      <c r="AO105" s="6"/>
      <c r="AP105" s="10"/>
      <c r="AQ105" s="7"/>
      <c r="AR105" s="10"/>
      <c r="AS105" s="17"/>
    </row>
    <row r="106" spans="1:45" ht="15">
      <c r="A106" s="11" t="s">
        <v>45</v>
      </c>
      <c r="B106" s="13" t="s">
        <v>46</v>
      </c>
      <c r="C106" s="13">
        <v>9</v>
      </c>
      <c r="D106" s="14">
        <v>3</v>
      </c>
      <c r="E106" s="15" t="s">
        <v>48</v>
      </c>
      <c r="F106" s="13"/>
      <c r="G106" s="16">
        <f>72.9+J106/100</f>
        <v>72.95</v>
      </c>
      <c r="H106" s="16">
        <f>72.9+K106/100</f>
        <v>72.98</v>
      </c>
      <c r="I106" s="1">
        <f t="shared" si="75"/>
        <v>72.965</v>
      </c>
      <c r="J106" s="51">
        <v>5</v>
      </c>
      <c r="K106" s="51">
        <v>8</v>
      </c>
      <c r="L106" s="14">
        <f t="shared" si="74"/>
        <v>6.5</v>
      </c>
      <c r="M106" s="52">
        <v>0</v>
      </c>
      <c r="N106" s="53">
        <v>0</v>
      </c>
      <c r="O106" s="53">
        <v>270</v>
      </c>
      <c r="P106" s="53">
        <v>0</v>
      </c>
      <c r="Q106" s="16"/>
      <c r="R106" s="54"/>
      <c r="S106" s="2">
        <f t="shared" si="76"/>
        <v>0</v>
      </c>
      <c r="T106" s="2">
        <f t="shared" si="77"/>
        <v>0</v>
      </c>
      <c r="U106" s="2">
        <f t="shared" si="78"/>
        <v>-1</v>
      </c>
      <c r="V106" s="3">
        <f t="shared" si="79"/>
        <v>90</v>
      </c>
      <c r="W106" s="4">
        <f t="shared" si="80"/>
        <v>-90</v>
      </c>
      <c r="X106" s="5">
        <f t="shared" si="73"/>
        <v>90</v>
      </c>
      <c r="Y106" s="3">
        <f t="shared" si="81"/>
        <v>0</v>
      </c>
      <c r="Z106" s="6">
        <f t="shared" si="82"/>
        <v>0</v>
      </c>
      <c r="AA106" s="7">
        <f t="shared" si="83"/>
        <v>90</v>
      </c>
      <c r="AB106" s="8">
        <f t="shared" si="84"/>
        <v>90</v>
      </c>
      <c r="AC106" s="9">
        <f t="shared" si="85"/>
        <v>6.1257422745431E-17</v>
      </c>
      <c r="AD106" s="9">
        <f t="shared" si="86"/>
        <v>1</v>
      </c>
      <c r="AE106" s="9">
        <f t="shared" si="87"/>
        <v>0</v>
      </c>
      <c r="AF106" s="10">
        <f t="shared" si="88"/>
        <v>90</v>
      </c>
      <c r="AG106" s="8">
        <f t="shared" si="89"/>
        <v>0</v>
      </c>
      <c r="AH106" s="9">
        <f t="shared" si="90"/>
        <v>0</v>
      </c>
      <c r="AI106" s="11"/>
      <c r="AJ106" s="16"/>
      <c r="AK106" s="77"/>
      <c r="AL106" s="78"/>
      <c r="AM106" s="5"/>
      <c r="AN106" s="3"/>
      <c r="AO106" s="6"/>
      <c r="AP106" s="10"/>
      <c r="AQ106" s="7"/>
      <c r="AR106" s="10"/>
      <c r="AS106" s="17"/>
    </row>
    <row r="107" spans="1:45" ht="15">
      <c r="A107" s="11" t="s">
        <v>45</v>
      </c>
      <c r="B107" s="12" t="s">
        <v>46</v>
      </c>
      <c r="C107" s="13">
        <v>9</v>
      </c>
      <c r="D107" s="14">
        <v>4</v>
      </c>
      <c r="E107" s="15" t="s">
        <v>48</v>
      </c>
      <c r="F107" s="13"/>
      <c r="G107" s="16">
        <f>73.12+J107/100</f>
        <v>73.31</v>
      </c>
      <c r="H107" s="16">
        <f>73.12+K107/100</f>
        <v>73.34</v>
      </c>
      <c r="I107" s="1">
        <f t="shared" si="75"/>
        <v>73.325</v>
      </c>
      <c r="J107" s="51">
        <v>19</v>
      </c>
      <c r="K107" s="51">
        <v>22</v>
      </c>
      <c r="L107" s="14">
        <f t="shared" si="74"/>
        <v>20.5</v>
      </c>
      <c r="M107" s="52">
        <v>0</v>
      </c>
      <c r="N107" s="53">
        <v>2</v>
      </c>
      <c r="O107" s="53">
        <v>270</v>
      </c>
      <c r="P107" s="53">
        <v>5</v>
      </c>
      <c r="Q107" s="16"/>
      <c r="R107" s="54"/>
      <c r="S107" s="2">
        <f t="shared" si="76"/>
        <v>0.03476669358110182</v>
      </c>
      <c r="T107" s="2">
        <f t="shared" si="77"/>
        <v>-0.08710264982404566</v>
      </c>
      <c r="U107" s="2">
        <f t="shared" si="78"/>
        <v>-0.995587843197948</v>
      </c>
      <c r="V107" s="3">
        <f t="shared" si="79"/>
        <v>291.7592264795576</v>
      </c>
      <c r="W107" s="4">
        <f t="shared" si="80"/>
        <v>-84.61859152100902</v>
      </c>
      <c r="X107" s="5">
        <f t="shared" si="73"/>
        <v>291.7592264795576</v>
      </c>
      <c r="Y107" s="3">
        <f t="shared" si="81"/>
        <v>201.75922647955758</v>
      </c>
      <c r="Z107" s="6">
        <f t="shared" si="82"/>
        <v>5.381408478990977</v>
      </c>
      <c r="AA107" s="7">
        <f t="shared" si="83"/>
        <v>68.32777213861824</v>
      </c>
      <c r="AB107" s="8">
        <f t="shared" si="84"/>
        <v>68.32777213861824</v>
      </c>
      <c r="AC107" s="9">
        <f t="shared" si="85"/>
        <v>0.36929634912042175</v>
      </c>
      <c r="AD107" s="9">
        <f t="shared" si="86"/>
        <v>0.9252156954096875</v>
      </c>
      <c r="AE107" s="9">
        <f t="shared" si="87"/>
        <v>0.08715574274765793</v>
      </c>
      <c r="AF107" s="10">
        <f t="shared" si="88"/>
        <v>270</v>
      </c>
      <c r="AG107" s="8">
        <f t="shared" si="89"/>
        <v>4.999999999999987</v>
      </c>
      <c r="AH107" s="9">
        <f t="shared" si="90"/>
        <v>9.804435261072083E-06</v>
      </c>
      <c r="AI107" s="11"/>
      <c r="AJ107" s="16"/>
      <c r="AK107" s="77"/>
      <c r="AL107" s="78"/>
      <c r="AM107" s="5"/>
      <c r="AN107" s="3"/>
      <c r="AO107" s="6"/>
      <c r="AP107" s="10"/>
      <c r="AQ107" s="7"/>
      <c r="AR107" s="10"/>
      <c r="AS107" s="17"/>
    </row>
    <row r="108" spans="1:46" ht="15">
      <c r="A108" s="11" t="s">
        <v>45</v>
      </c>
      <c r="B108" s="12" t="s">
        <v>46</v>
      </c>
      <c r="C108" s="13">
        <v>9</v>
      </c>
      <c r="D108" s="14">
        <v>4</v>
      </c>
      <c r="E108" s="15" t="s">
        <v>48</v>
      </c>
      <c r="F108" s="13"/>
      <c r="G108" s="16">
        <f>73.12+J108/100</f>
        <v>73.86</v>
      </c>
      <c r="H108" s="16">
        <f>73.12+K108/100</f>
        <v>73.87</v>
      </c>
      <c r="I108" s="1">
        <f t="shared" si="75"/>
        <v>73.86500000000001</v>
      </c>
      <c r="J108" s="51">
        <v>74</v>
      </c>
      <c r="K108" s="51">
        <v>75</v>
      </c>
      <c r="L108" s="14">
        <f t="shared" si="74"/>
        <v>74.5</v>
      </c>
      <c r="M108" s="52">
        <v>180</v>
      </c>
      <c r="N108" s="53">
        <v>6</v>
      </c>
      <c r="O108" s="53">
        <v>90</v>
      </c>
      <c r="P108" s="53">
        <v>4</v>
      </c>
      <c r="Q108" s="16"/>
      <c r="R108" s="54"/>
      <c r="S108" s="2">
        <f t="shared" si="76"/>
        <v>-0.10427383718471563</v>
      </c>
      <c r="T108" s="2">
        <f t="shared" si="77"/>
        <v>0.06937434048221469</v>
      </c>
      <c r="U108" s="2">
        <f t="shared" si="78"/>
        <v>-0.9920992900156518</v>
      </c>
      <c r="V108" s="3">
        <f t="shared" si="79"/>
        <v>146.36381294147463</v>
      </c>
      <c r="W108" s="4">
        <f t="shared" si="80"/>
        <v>-82.80501343661278</v>
      </c>
      <c r="X108" s="5">
        <f t="shared" si="73"/>
        <v>146.36381294147463</v>
      </c>
      <c r="Y108" s="3">
        <f t="shared" si="81"/>
        <v>56.363812941474634</v>
      </c>
      <c r="Z108" s="6">
        <f t="shared" si="82"/>
        <v>7.194986563387218</v>
      </c>
      <c r="AA108" s="7">
        <f t="shared" si="83"/>
        <v>33.84539505781191</v>
      </c>
      <c r="AB108" s="8">
        <f t="shared" si="84"/>
        <v>33.84539505781191</v>
      </c>
      <c r="AC108" s="9">
        <f t="shared" si="85"/>
        <v>0.830543459257997</v>
      </c>
      <c r="AD108" s="9">
        <f t="shared" si="86"/>
        <v>0.5525681828105425</v>
      </c>
      <c r="AE108" s="9">
        <f t="shared" si="87"/>
        <v>0.0697564737441251</v>
      </c>
      <c r="AF108" s="10">
        <f t="shared" si="88"/>
        <v>89.99999999999999</v>
      </c>
      <c r="AG108" s="8">
        <f t="shared" si="89"/>
        <v>3.999999999999988</v>
      </c>
      <c r="AH108" s="9">
        <f t="shared" si="90"/>
        <v>1.76476263214761E-05</v>
      </c>
      <c r="AI108" s="11"/>
      <c r="AJ108" s="16"/>
      <c r="AK108" s="77"/>
      <c r="AL108" s="78"/>
      <c r="AM108" s="5"/>
      <c r="AN108" s="3"/>
      <c r="AO108" s="6"/>
      <c r="AP108" s="10"/>
      <c r="AQ108" s="7"/>
      <c r="AR108" s="10"/>
      <c r="AS108" s="17"/>
      <c r="AT108" s="18" t="s">
        <v>66</v>
      </c>
    </row>
    <row r="109" spans="1:45" ht="15">
      <c r="A109" s="11" t="s">
        <v>45</v>
      </c>
      <c r="B109" s="12" t="s">
        <v>46</v>
      </c>
      <c r="C109" s="13">
        <v>9</v>
      </c>
      <c r="D109" s="14">
        <v>5</v>
      </c>
      <c r="E109" s="15" t="s">
        <v>48</v>
      </c>
      <c r="F109" s="13"/>
      <c r="G109" s="16">
        <f>74.525+J109/100</f>
        <v>75.795</v>
      </c>
      <c r="H109" s="16">
        <f>74.525+K109/100</f>
        <v>75.805</v>
      </c>
      <c r="I109" s="1">
        <f t="shared" si="75"/>
        <v>75.80000000000001</v>
      </c>
      <c r="J109" s="51">
        <v>127</v>
      </c>
      <c r="K109" s="51">
        <v>128</v>
      </c>
      <c r="L109" s="14">
        <f t="shared" si="74"/>
        <v>127.5</v>
      </c>
      <c r="M109" s="52">
        <v>180</v>
      </c>
      <c r="N109" s="53">
        <v>0</v>
      </c>
      <c r="O109" s="53">
        <v>270</v>
      </c>
      <c r="P109" s="53">
        <v>6</v>
      </c>
      <c r="Q109" s="16"/>
      <c r="R109" s="54"/>
      <c r="S109" s="2">
        <f t="shared" si="76"/>
        <v>1.2806288526633808E-17</v>
      </c>
      <c r="T109" s="2">
        <f t="shared" si="77"/>
        <v>0.10452846326765346</v>
      </c>
      <c r="U109" s="2">
        <f t="shared" si="78"/>
        <v>0.9945218953682733</v>
      </c>
      <c r="V109" s="3">
        <f t="shared" si="79"/>
        <v>90</v>
      </c>
      <c r="W109" s="4">
        <f t="shared" si="80"/>
        <v>83.99999999999999</v>
      </c>
      <c r="X109" s="5">
        <f t="shared" si="73"/>
        <v>270</v>
      </c>
      <c r="Y109" s="3">
        <f t="shared" si="81"/>
        <v>180</v>
      </c>
      <c r="Z109" s="6">
        <f t="shared" si="82"/>
        <v>6.000000000000014</v>
      </c>
      <c r="AA109" s="7">
        <f t="shared" si="83"/>
        <v>90.00000000000001</v>
      </c>
      <c r="AB109" s="8">
        <f t="shared" si="84"/>
        <v>90.00000000000001</v>
      </c>
      <c r="AC109" s="9">
        <f t="shared" si="85"/>
        <v>-3.828317871046316E-16</v>
      </c>
      <c r="AD109" s="9">
        <f t="shared" si="86"/>
        <v>0.9945218953682733</v>
      </c>
      <c r="AE109" s="9">
        <f t="shared" si="87"/>
        <v>0.10452846326765372</v>
      </c>
      <c r="AF109" s="10">
        <f t="shared" si="88"/>
        <v>270</v>
      </c>
      <c r="AG109" s="8">
        <f t="shared" si="89"/>
        <v>6.000000000000015</v>
      </c>
      <c r="AH109" s="9">
        <f t="shared" si="90"/>
        <v>-1.2189813205963096E-20</v>
      </c>
      <c r="AI109" s="11"/>
      <c r="AJ109" s="16"/>
      <c r="AK109" s="77"/>
      <c r="AL109" s="78"/>
      <c r="AM109" s="5"/>
      <c r="AN109" s="3"/>
      <c r="AO109" s="6"/>
      <c r="AP109" s="10"/>
      <c r="AQ109" s="7"/>
      <c r="AR109" s="10"/>
      <c r="AS109" s="17"/>
    </row>
    <row r="110" spans="1:45" ht="15">
      <c r="A110" s="11" t="s">
        <v>45</v>
      </c>
      <c r="B110" s="12" t="s">
        <v>46</v>
      </c>
      <c r="C110" s="13">
        <v>9</v>
      </c>
      <c r="D110" s="14">
        <v>6</v>
      </c>
      <c r="E110" s="15" t="s">
        <v>48</v>
      </c>
      <c r="F110" s="13"/>
      <c r="G110" s="16">
        <f>75.935+J110/100</f>
        <v>76.755</v>
      </c>
      <c r="H110" s="16">
        <f>75.935+K110/100</f>
        <v>76.765</v>
      </c>
      <c r="I110" s="1">
        <f t="shared" si="75"/>
        <v>76.75999999999999</v>
      </c>
      <c r="J110" s="51">
        <v>82</v>
      </c>
      <c r="K110" s="51">
        <v>83</v>
      </c>
      <c r="L110" s="14">
        <f t="shared" si="74"/>
        <v>82.5</v>
      </c>
      <c r="M110" s="52">
        <v>180</v>
      </c>
      <c r="N110" s="53">
        <v>4</v>
      </c>
      <c r="O110" s="53">
        <v>90</v>
      </c>
      <c r="P110" s="53">
        <v>0</v>
      </c>
      <c r="Q110" s="16"/>
      <c r="R110" s="54"/>
      <c r="S110" s="2">
        <f t="shared" si="76"/>
        <v>-0.0697564737441253</v>
      </c>
      <c r="T110" s="2">
        <f t="shared" si="77"/>
        <v>4.273101801374442E-18</v>
      </c>
      <c r="U110" s="2">
        <f t="shared" si="78"/>
        <v>-0.9975640502598242</v>
      </c>
      <c r="V110" s="3">
        <f t="shared" si="79"/>
        <v>180</v>
      </c>
      <c r="W110" s="4">
        <f t="shared" si="80"/>
        <v>-85.99999999999996</v>
      </c>
      <c r="X110" s="5">
        <f t="shared" si="73"/>
        <v>180</v>
      </c>
      <c r="Y110" s="3">
        <f t="shared" si="81"/>
        <v>90</v>
      </c>
      <c r="Z110" s="6">
        <f t="shared" si="82"/>
        <v>4.000000000000043</v>
      </c>
      <c r="AA110" s="7">
        <f t="shared" si="83"/>
        <v>0</v>
      </c>
      <c r="AB110" s="8">
        <f t="shared" si="84"/>
        <v>0</v>
      </c>
      <c r="AC110" s="9">
        <f t="shared" si="85"/>
        <v>1</v>
      </c>
      <c r="AD110" s="9">
        <f t="shared" si="86"/>
        <v>0</v>
      </c>
      <c r="AE110" s="9">
        <f t="shared" si="87"/>
        <v>0</v>
      </c>
      <c r="AF110" s="10">
        <f t="shared" si="88"/>
        <v>90</v>
      </c>
      <c r="AG110" s="8">
        <f t="shared" si="89"/>
        <v>0</v>
      </c>
      <c r="AH110" s="9">
        <f t="shared" si="90"/>
        <v>0</v>
      </c>
      <c r="AI110" s="11"/>
      <c r="AJ110" s="16"/>
      <c r="AK110" s="77"/>
      <c r="AL110" s="78"/>
      <c r="AM110" s="5"/>
      <c r="AN110" s="3"/>
      <c r="AO110" s="6"/>
      <c r="AP110" s="10"/>
      <c r="AQ110" s="7"/>
      <c r="AR110" s="10"/>
      <c r="AS110" s="17"/>
    </row>
    <row r="111" spans="1:45" ht="15">
      <c r="A111" s="11" t="s">
        <v>45</v>
      </c>
      <c r="B111" s="12" t="s">
        <v>46</v>
      </c>
      <c r="C111" s="13">
        <v>9</v>
      </c>
      <c r="D111" s="14">
        <v>6</v>
      </c>
      <c r="E111" s="15" t="s">
        <v>48</v>
      </c>
      <c r="F111" s="13"/>
      <c r="G111" s="16">
        <f>75.935+J111/100</f>
        <v>77.125</v>
      </c>
      <c r="H111" s="16">
        <f>75.935+K111/100</f>
        <v>77.135</v>
      </c>
      <c r="I111" s="1">
        <f t="shared" si="75"/>
        <v>77.13</v>
      </c>
      <c r="J111" s="51">
        <v>119</v>
      </c>
      <c r="K111" s="51">
        <v>120</v>
      </c>
      <c r="L111" s="14">
        <f t="shared" si="74"/>
        <v>119.5</v>
      </c>
      <c r="M111" s="52">
        <v>90</v>
      </c>
      <c r="N111" s="53">
        <v>17</v>
      </c>
      <c r="O111" s="53">
        <v>0</v>
      </c>
      <c r="P111" s="53">
        <v>4</v>
      </c>
      <c r="Q111" s="16"/>
      <c r="R111" s="54"/>
      <c r="S111" s="2">
        <f t="shared" si="76"/>
        <v>0.06670844760071763</v>
      </c>
      <c r="T111" s="2">
        <f t="shared" si="77"/>
        <v>0.2916595019445827</v>
      </c>
      <c r="U111" s="2">
        <f t="shared" si="78"/>
        <v>-0.9539752456412184</v>
      </c>
      <c r="V111" s="3">
        <f t="shared" si="79"/>
        <v>77.11689272610539</v>
      </c>
      <c r="W111" s="4">
        <f t="shared" si="80"/>
        <v>-72.58724050635139</v>
      </c>
      <c r="X111" s="5">
        <f aca="true" t="shared" si="91" ref="X111:X142">IF(U111&lt;0,V111,IF(V111+180&gt;=360,V111-180,V111+180))</f>
        <v>77.11689272610539</v>
      </c>
      <c r="Y111" s="3">
        <f t="shared" si="81"/>
        <v>347.1168927261054</v>
      </c>
      <c r="Z111" s="6">
        <f t="shared" si="82"/>
        <v>17.412759493648608</v>
      </c>
      <c r="AA111" s="7">
        <f t="shared" si="83"/>
        <v>102.31113734774495</v>
      </c>
      <c r="AB111" s="8">
        <f t="shared" si="84"/>
        <v>102.31113734774495</v>
      </c>
      <c r="AC111" s="9">
        <f t="shared" si="85"/>
        <v>-0.21322030367819034</v>
      </c>
      <c r="AD111" s="9">
        <f t="shared" si="86"/>
        <v>0.9322316709793231</v>
      </c>
      <c r="AE111" s="9">
        <f t="shared" si="87"/>
        <v>0.2923717047227369</v>
      </c>
      <c r="AF111" s="10">
        <f t="shared" si="88"/>
        <v>90</v>
      </c>
      <c r="AG111" s="8">
        <f t="shared" si="89"/>
        <v>17.000000000000007</v>
      </c>
      <c r="AH111" s="9">
        <f t="shared" si="90"/>
        <v>-1.898959688459072E-05</v>
      </c>
      <c r="AI111" s="11"/>
      <c r="AJ111" s="16"/>
      <c r="AK111" s="77"/>
      <c r="AL111" s="78"/>
      <c r="AM111" s="5"/>
      <c r="AN111" s="3"/>
      <c r="AO111" s="6"/>
      <c r="AP111" s="10"/>
      <c r="AQ111" s="7"/>
      <c r="AR111" s="10"/>
      <c r="AS111" s="17"/>
    </row>
    <row r="112" spans="1:45" ht="15">
      <c r="A112" s="11" t="s">
        <v>45</v>
      </c>
      <c r="B112" s="12" t="s">
        <v>46</v>
      </c>
      <c r="C112" s="13">
        <v>9</v>
      </c>
      <c r="D112" s="14">
        <v>7</v>
      </c>
      <c r="E112" s="15" t="s">
        <v>48</v>
      </c>
      <c r="F112" s="13"/>
      <c r="G112" s="16">
        <f>77.34+J112/100</f>
        <v>77.69</v>
      </c>
      <c r="H112" s="16">
        <f>77.34+K112/100</f>
        <v>77.69</v>
      </c>
      <c r="I112" s="1">
        <f t="shared" si="75"/>
        <v>77.69</v>
      </c>
      <c r="J112" s="51">
        <v>35</v>
      </c>
      <c r="K112" s="51">
        <v>35</v>
      </c>
      <c r="L112" s="14">
        <f t="shared" si="74"/>
        <v>35</v>
      </c>
      <c r="M112" s="52">
        <v>0</v>
      </c>
      <c r="N112" s="53">
        <v>0</v>
      </c>
      <c r="O112" s="53">
        <v>90</v>
      </c>
      <c r="P112" s="53">
        <v>0</v>
      </c>
      <c r="Q112" s="16"/>
      <c r="R112" s="54"/>
      <c r="S112" s="2">
        <f t="shared" si="76"/>
        <v>0</v>
      </c>
      <c r="T112" s="2">
        <f t="shared" si="77"/>
        <v>0</v>
      </c>
      <c r="U112" s="2">
        <f t="shared" si="78"/>
        <v>1</v>
      </c>
      <c r="V112" s="3">
        <f t="shared" si="79"/>
        <v>90</v>
      </c>
      <c r="W112" s="4">
        <f t="shared" si="80"/>
        <v>90</v>
      </c>
      <c r="X112" s="5">
        <f t="shared" si="91"/>
        <v>270</v>
      </c>
      <c r="Y112" s="3">
        <f t="shared" si="81"/>
        <v>180</v>
      </c>
      <c r="Z112" s="6">
        <f t="shared" si="82"/>
        <v>0</v>
      </c>
      <c r="AA112" s="7">
        <f t="shared" si="83"/>
        <v>89.99999999999999</v>
      </c>
      <c r="AB112" s="8">
        <f t="shared" si="84"/>
        <v>89.99999999999999</v>
      </c>
      <c r="AC112" s="9">
        <f t="shared" si="85"/>
        <v>2.833020276704623E-16</v>
      </c>
      <c r="AD112" s="9">
        <f t="shared" si="86"/>
        <v>1</v>
      </c>
      <c r="AE112" s="9">
        <f t="shared" si="87"/>
        <v>0</v>
      </c>
      <c r="AF112" s="10">
        <f t="shared" si="88"/>
        <v>270</v>
      </c>
      <c r="AG112" s="8">
        <f t="shared" si="89"/>
        <v>0</v>
      </c>
      <c r="AH112" s="9">
        <f t="shared" si="90"/>
        <v>0</v>
      </c>
      <c r="AI112" s="11"/>
      <c r="AJ112" s="16"/>
      <c r="AK112" s="77"/>
      <c r="AL112" s="78"/>
      <c r="AM112" s="5"/>
      <c r="AN112" s="3"/>
      <c r="AO112" s="6"/>
      <c r="AP112" s="10"/>
      <c r="AQ112" s="7"/>
      <c r="AR112" s="10"/>
      <c r="AS112" s="17"/>
    </row>
    <row r="113" spans="1:45" ht="15">
      <c r="A113" s="11" t="s">
        <v>45</v>
      </c>
      <c r="B113" s="12" t="s">
        <v>46</v>
      </c>
      <c r="C113" s="13">
        <v>9</v>
      </c>
      <c r="D113" s="14">
        <v>7</v>
      </c>
      <c r="E113" s="15" t="s">
        <v>48</v>
      </c>
      <c r="F113" s="13"/>
      <c r="G113" s="16">
        <f>77.34+J113/100</f>
        <v>78.56</v>
      </c>
      <c r="H113" s="16">
        <f>77.34+K113/100</f>
        <v>78.56</v>
      </c>
      <c r="I113" s="1">
        <f t="shared" si="75"/>
        <v>78.56</v>
      </c>
      <c r="J113" s="51">
        <v>122</v>
      </c>
      <c r="K113" s="51">
        <v>122</v>
      </c>
      <c r="L113" s="14">
        <f t="shared" si="74"/>
        <v>122</v>
      </c>
      <c r="M113" s="52">
        <v>0</v>
      </c>
      <c r="N113" s="53">
        <v>0</v>
      </c>
      <c r="O113" s="53">
        <v>90</v>
      </c>
      <c r="P113" s="53">
        <v>0</v>
      </c>
      <c r="Q113" s="16"/>
      <c r="R113" s="54"/>
      <c r="S113" s="2">
        <f t="shared" si="76"/>
        <v>0</v>
      </c>
      <c r="T113" s="2">
        <f t="shared" si="77"/>
        <v>0</v>
      </c>
      <c r="U113" s="2">
        <f t="shared" si="78"/>
        <v>1</v>
      </c>
      <c r="V113" s="3">
        <f t="shared" si="79"/>
        <v>90</v>
      </c>
      <c r="W113" s="4">
        <f t="shared" si="80"/>
        <v>90</v>
      </c>
      <c r="X113" s="5">
        <f t="shared" si="91"/>
        <v>270</v>
      </c>
      <c r="Y113" s="3">
        <f t="shared" si="81"/>
        <v>180</v>
      </c>
      <c r="Z113" s="6">
        <f t="shared" si="82"/>
        <v>0</v>
      </c>
      <c r="AA113" s="7">
        <f t="shared" si="83"/>
        <v>89.99999999999999</v>
      </c>
      <c r="AB113" s="8">
        <f t="shared" si="84"/>
        <v>89.99999999999999</v>
      </c>
      <c r="AC113" s="9">
        <f t="shared" si="85"/>
        <v>2.833020276704623E-16</v>
      </c>
      <c r="AD113" s="9">
        <f t="shared" si="86"/>
        <v>1</v>
      </c>
      <c r="AE113" s="9">
        <f t="shared" si="87"/>
        <v>0</v>
      </c>
      <c r="AF113" s="10">
        <f t="shared" si="88"/>
        <v>270</v>
      </c>
      <c r="AG113" s="8">
        <f t="shared" si="89"/>
        <v>0</v>
      </c>
      <c r="AH113" s="9">
        <f t="shared" si="90"/>
        <v>0</v>
      </c>
      <c r="AI113" s="11"/>
      <c r="AJ113" s="16"/>
      <c r="AK113" s="77"/>
      <c r="AL113" s="78"/>
      <c r="AM113" s="5"/>
      <c r="AN113" s="3"/>
      <c r="AO113" s="6"/>
      <c r="AP113" s="10"/>
      <c r="AQ113" s="7"/>
      <c r="AR113" s="10"/>
      <c r="AS113" s="17"/>
    </row>
    <row r="114" spans="1:45" ht="15">
      <c r="A114" s="11" t="s">
        <v>45</v>
      </c>
      <c r="B114" s="12" t="s">
        <v>46</v>
      </c>
      <c r="C114" s="13">
        <v>9</v>
      </c>
      <c r="D114" s="14">
        <v>8</v>
      </c>
      <c r="E114" s="15" t="s">
        <v>48</v>
      </c>
      <c r="F114" s="13"/>
      <c r="G114" s="16">
        <f>78.745+J114/100</f>
        <v>79.045</v>
      </c>
      <c r="H114" s="16">
        <f>78.745+K114/100</f>
        <v>79.045</v>
      </c>
      <c r="I114" s="1">
        <f t="shared" si="75"/>
        <v>79.045</v>
      </c>
      <c r="J114" s="51">
        <v>30</v>
      </c>
      <c r="K114" s="51">
        <v>30</v>
      </c>
      <c r="L114" s="14">
        <f t="shared" si="74"/>
        <v>30</v>
      </c>
      <c r="M114" s="52">
        <v>0</v>
      </c>
      <c r="N114" s="53">
        <v>6</v>
      </c>
      <c r="O114" s="53">
        <v>270</v>
      </c>
      <c r="P114" s="53">
        <v>1</v>
      </c>
      <c r="Q114" s="16"/>
      <c r="R114" s="54"/>
      <c r="S114" s="2">
        <f t="shared" si="76"/>
        <v>0.10451254307640281</v>
      </c>
      <c r="T114" s="2">
        <f t="shared" si="77"/>
        <v>-0.017356800328744672</v>
      </c>
      <c r="U114" s="2">
        <f t="shared" si="78"/>
        <v>-0.9943704248665338</v>
      </c>
      <c r="V114" s="3">
        <f t="shared" si="79"/>
        <v>350.57072890058095</v>
      </c>
      <c r="W114" s="4">
        <f t="shared" si="80"/>
        <v>-83.91843294872977</v>
      </c>
      <c r="X114" s="5">
        <f t="shared" si="91"/>
        <v>350.57072890058095</v>
      </c>
      <c r="Y114" s="3">
        <f t="shared" si="81"/>
        <v>260.57072890058095</v>
      </c>
      <c r="Z114" s="6">
        <f t="shared" si="82"/>
        <v>6.081567051270227</v>
      </c>
      <c r="AA114" s="7">
        <f t="shared" si="83"/>
        <v>9.481672267006285</v>
      </c>
      <c r="AB114" s="8">
        <f t="shared" si="84"/>
        <v>9.481672267006285</v>
      </c>
      <c r="AC114" s="9">
        <f t="shared" si="85"/>
        <v>0.9863383463867816</v>
      </c>
      <c r="AD114" s="9">
        <f t="shared" si="86"/>
        <v>0.1638050058958424</v>
      </c>
      <c r="AE114" s="9">
        <f t="shared" si="87"/>
        <v>0.01745240643728382</v>
      </c>
      <c r="AF114" s="10">
        <f t="shared" si="88"/>
        <v>270.00000000000006</v>
      </c>
      <c r="AG114" s="8">
        <f t="shared" si="89"/>
        <v>1.0000000000000178</v>
      </c>
      <c r="AH114" s="9">
        <f t="shared" si="90"/>
        <v>5.243418400820505E-06</v>
      </c>
      <c r="AI114" s="11"/>
      <c r="AJ114" s="16"/>
      <c r="AK114" s="77"/>
      <c r="AL114" s="78"/>
      <c r="AM114" s="5"/>
      <c r="AN114" s="3"/>
      <c r="AO114" s="6"/>
      <c r="AP114" s="10"/>
      <c r="AQ114" s="7"/>
      <c r="AR114" s="10"/>
      <c r="AS114" s="17"/>
    </row>
    <row r="115" spans="1:45" ht="15">
      <c r="A115" s="11" t="s">
        <v>45</v>
      </c>
      <c r="B115" s="12" t="s">
        <v>46</v>
      </c>
      <c r="C115" s="13">
        <v>10</v>
      </c>
      <c r="D115" s="14">
        <v>1</v>
      </c>
      <c r="E115" s="15" t="s">
        <v>48</v>
      </c>
      <c r="F115" s="13"/>
      <c r="G115" s="16">
        <f>80.5+J115/100</f>
        <v>80.71</v>
      </c>
      <c r="H115" s="16">
        <f>80.5+K115/100</f>
        <v>80.72</v>
      </c>
      <c r="I115" s="1">
        <f t="shared" si="75"/>
        <v>80.715</v>
      </c>
      <c r="J115" s="51">
        <v>21</v>
      </c>
      <c r="K115" s="51">
        <v>22</v>
      </c>
      <c r="L115" s="14">
        <f t="shared" si="74"/>
        <v>21.5</v>
      </c>
      <c r="M115" s="52">
        <v>0</v>
      </c>
      <c r="N115" s="53">
        <v>0</v>
      </c>
      <c r="O115" s="53">
        <v>90</v>
      </c>
      <c r="P115" s="53">
        <v>0</v>
      </c>
      <c r="Q115" s="16"/>
      <c r="R115" s="54"/>
      <c r="S115" s="2">
        <f t="shared" si="76"/>
        <v>0</v>
      </c>
      <c r="T115" s="2">
        <f t="shared" si="77"/>
        <v>0</v>
      </c>
      <c r="U115" s="2">
        <f t="shared" si="78"/>
        <v>1</v>
      </c>
      <c r="V115" s="3">
        <f t="shared" si="79"/>
        <v>90</v>
      </c>
      <c r="W115" s="4">
        <f t="shared" si="80"/>
        <v>90</v>
      </c>
      <c r="X115" s="5">
        <f t="shared" si="91"/>
        <v>270</v>
      </c>
      <c r="Y115" s="3">
        <f t="shared" si="81"/>
        <v>180</v>
      </c>
      <c r="Z115" s="6">
        <f t="shared" si="82"/>
        <v>0</v>
      </c>
      <c r="AA115" s="7">
        <f t="shared" si="83"/>
        <v>89.99999999999999</v>
      </c>
      <c r="AB115" s="8">
        <f t="shared" si="84"/>
        <v>89.99999999999999</v>
      </c>
      <c r="AC115" s="9">
        <f t="shared" si="85"/>
        <v>2.833020276704623E-16</v>
      </c>
      <c r="AD115" s="9">
        <f t="shared" si="86"/>
        <v>1</v>
      </c>
      <c r="AE115" s="9">
        <f t="shared" si="87"/>
        <v>0</v>
      </c>
      <c r="AF115" s="10">
        <f t="shared" si="88"/>
        <v>270</v>
      </c>
      <c r="AG115" s="8">
        <f t="shared" si="89"/>
        <v>0</v>
      </c>
      <c r="AH115" s="9">
        <f t="shared" si="90"/>
        <v>0</v>
      </c>
      <c r="AI115" s="11"/>
      <c r="AJ115" s="16"/>
      <c r="AK115" s="77"/>
      <c r="AL115" s="78"/>
      <c r="AM115" s="5"/>
      <c r="AN115" s="3"/>
      <c r="AO115" s="6"/>
      <c r="AP115" s="10"/>
      <c r="AQ115" s="7"/>
      <c r="AR115" s="10"/>
      <c r="AS115" s="17"/>
    </row>
    <row r="116" spans="1:45" ht="15">
      <c r="A116" s="11" t="s">
        <v>45</v>
      </c>
      <c r="B116" s="12" t="s">
        <v>46</v>
      </c>
      <c r="C116" s="13">
        <v>10</v>
      </c>
      <c r="D116" s="14">
        <v>2</v>
      </c>
      <c r="E116" s="15" t="s">
        <v>48</v>
      </c>
      <c r="F116" s="13"/>
      <c r="G116" s="16">
        <f>81.225+J116/100</f>
        <v>81.485</v>
      </c>
      <c r="H116" s="16">
        <f>81.225+K116/100</f>
        <v>81.49499999999999</v>
      </c>
      <c r="I116" s="1">
        <f t="shared" si="75"/>
        <v>81.49</v>
      </c>
      <c r="J116" s="51">
        <v>26</v>
      </c>
      <c r="K116" s="51">
        <v>27</v>
      </c>
      <c r="L116" s="14">
        <f t="shared" si="74"/>
        <v>26.5</v>
      </c>
      <c r="M116" s="52">
        <v>0</v>
      </c>
      <c r="N116" s="53">
        <v>0</v>
      </c>
      <c r="O116" s="53">
        <v>90</v>
      </c>
      <c r="P116" s="53">
        <v>0</v>
      </c>
      <c r="Q116" s="16"/>
      <c r="R116" s="54"/>
      <c r="S116" s="2">
        <f t="shared" si="76"/>
        <v>0</v>
      </c>
      <c r="T116" s="2">
        <f t="shared" si="77"/>
        <v>0</v>
      </c>
      <c r="U116" s="2">
        <f t="shared" si="78"/>
        <v>1</v>
      </c>
      <c r="V116" s="3">
        <f t="shared" si="79"/>
        <v>90</v>
      </c>
      <c r="W116" s="4">
        <f t="shared" si="80"/>
        <v>90</v>
      </c>
      <c r="X116" s="5">
        <f t="shared" si="91"/>
        <v>270</v>
      </c>
      <c r="Y116" s="3">
        <f t="shared" si="81"/>
        <v>180</v>
      </c>
      <c r="Z116" s="6">
        <f t="shared" si="82"/>
        <v>0</v>
      </c>
      <c r="AA116" s="7">
        <f t="shared" si="83"/>
        <v>89.99999999999999</v>
      </c>
      <c r="AB116" s="8">
        <f t="shared" si="84"/>
        <v>89.99999999999999</v>
      </c>
      <c r="AC116" s="9">
        <f t="shared" si="85"/>
        <v>2.833020276704623E-16</v>
      </c>
      <c r="AD116" s="9">
        <f t="shared" si="86"/>
        <v>1</v>
      </c>
      <c r="AE116" s="9">
        <f t="shared" si="87"/>
        <v>0</v>
      </c>
      <c r="AF116" s="10">
        <f t="shared" si="88"/>
        <v>270</v>
      </c>
      <c r="AG116" s="8">
        <f t="shared" si="89"/>
        <v>0</v>
      </c>
      <c r="AH116" s="9">
        <f t="shared" si="90"/>
        <v>0</v>
      </c>
      <c r="AI116" s="11"/>
      <c r="AJ116" s="16"/>
      <c r="AK116" s="77"/>
      <c r="AL116" s="78"/>
      <c r="AM116" s="5"/>
      <c r="AN116" s="3"/>
      <c r="AO116" s="6"/>
      <c r="AP116" s="10"/>
      <c r="AQ116" s="7"/>
      <c r="AR116" s="10"/>
      <c r="AS116" s="17"/>
    </row>
    <row r="117" spans="1:45" ht="15">
      <c r="A117" s="11" t="s">
        <v>45</v>
      </c>
      <c r="B117" s="12" t="s">
        <v>46</v>
      </c>
      <c r="C117" s="13">
        <v>10</v>
      </c>
      <c r="D117" s="14">
        <v>3</v>
      </c>
      <c r="E117" s="15" t="s">
        <v>48</v>
      </c>
      <c r="F117" s="13"/>
      <c r="G117" s="16">
        <f aca="true" t="shared" si="92" ref="G117:H121">82.625+J117/100</f>
        <v>82.795</v>
      </c>
      <c r="H117" s="16">
        <f t="shared" si="92"/>
        <v>83.015</v>
      </c>
      <c r="I117" s="1">
        <f t="shared" si="75"/>
        <v>82.905</v>
      </c>
      <c r="J117" s="51">
        <v>17</v>
      </c>
      <c r="K117" s="51">
        <v>39</v>
      </c>
      <c r="L117" s="14">
        <f t="shared" si="74"/>
        <v>28</v>
      </c>
      <c r="M117" s="52">
        <v>0</v>
      </c>
      <c r="N117" s="53">
        <v>9</v>
      </c>
      <c r="O117" s="53">
        <v>270</v>
      </c>
      <c r="P117" s="53">
        <v>9</v>
      </c>
      <c r="Q117" s="16"/>
      <c r="R117" s="54"/>
      <c r="S117" s="2">
        <f t="shared" si="76"/>
        <v>0.15450849718747373</v>
      </c>
      <c r="T117" s="2">
        <f t="shared" si="77"/>
        <v>-0.15450849718747375</v>
      </c>
      <c r="U117" s="2">
        <f t="shared" si="78"/>
        <v>-0.9755282581475768</v>
      </c>
      <c r="V117" s="3">
        <f t="shared" si="79"/>
        <v>315</v>
      </c>
      <c r="W117" s="4">
        <f t="shared" si="80"/>
        <v>-77.374740153737</v>
      </c>
      <c r="X117" s="5">
        <f t="shared" si="91"/>
        <v>315</v>
      </c>
      <c r="Y117" s="3">
        <f t="shared" si="81"/>
        <v>225</v>
      </c>
      <c r="Z117" s="6">
        <f t="shared" si="82"/>
        <v>12.625259846263006</v>
      </c>
      <c r="AA117" s="7">
        <f t="shared" si="83"/>
        <v>45.7011337554954</v>
      </c>
      <c r="AB117" s="8">
        <f t="shared" si="84"/>
        <v>45.7011337554954</v>
      </c>
      <c r="AC117" s="9">
        <f t="shared" si="85"/>
        <v>0.6984011233337102</v>
      </c>
      <c r="AD117" s="9">
        <f t="shared" si="86"/>
        <v>0.6984011233337104</v>
      </c>
      <c r="AE117" s="9">
        <f t="shared" si="87"/>
        <v>0.15643446504023056</v>
      </c>
      <c r="AF117" s="10">
        <f t="shared" si="88"/>
        <v>270</v>
      </c>
      <c r="AG117" s="8">
        <f t="shared" si="89"/>
        <v>8.999999999999982</v>
      </c>
      <c r="AH117" s="9">
        <f t="shared" si="90"/>
        <v>3.327980795339975E-05</v>
      </c>
      <c r="AI117" s="11"/>
      <c r="AJ117" s="16"/>
      <c r="AK117" s="77"/>
      <c r="AL117" s="78"/>
      <c r="AM117" s="5"/>
      <c r="AN117" s="3"/>
      <c r="AO117" s="6"/>
      <c r="AP117" s="10"/>
      <c r="AQ117" s="7"/>
      <c r="AR117" s="10"/>
      <c r="AS117" s="17"/>
    </row>
    <row r="118" spans="1:45" ht="15">
      <c r="A118" s="11" t="s">
        <v>45</v>
      </c>
      <c r="B118" s="12" t="s">
        <v>46</v>
      </c>
      <c r="C118" s="13">
        <v>10</v>
      </c>
      <c r="D118" s="14">
        <v>3</v>
      </c>
      <c r="E118" s="15" t="s">
        <v>48</v>
      </c>
      <c r="F118" s="13"/>
      <c r="G118" s="16">
        <f t="shared" si="92"/>
        <v>83.215</v>
      </c>
      <c r="H118" s="16">
        <f t="shared" si="92"/>
        <v>83.235</v>
      </c>
      <c r="I118" s="1">
        <f t="shared" si="75"/>
        <v>83.225</v>
      </c>
      <c r="J118" s="51">
        <v>59</v>
      </c>
      <c r="K118" s="51">
        <v>61</v>
      </c>
      <c r="L118" s="14">
        <f t="shared" si="74"/>
        <v>60</v>
      </c>
      <c r="M118" s="52">
        <v>180</v>
      </c>
      <c r="N118" s="53">
        <v>20</v>
      </c>
      <c r="O118" s="53">
        <v>270</v>
      </c>
      <c r="P118" s="53">
        <v>0</v>
      </c>
      <c r="Q118" s="16"/>
      <c r="R118" s="54"/>
      <c r="S118" s="2">
        <f t="shared" si="76"/>
        <v>0.3420201433256687</v>
      </c>
      <c r="T118" s="2">
        <f t="shared" si="77"/>
        <v>-6.285381752146016E-17</v>
      </c>
      <c r="U118" s="2">
        <f t="shared" si="78"/>
        <v>0.9396926207859084</v>
      </c>
      <c r="V118" s="3">
        <f t="shared" si="79"/>
        <v>360</v>
      </c>
      <c r="W118" s="4">
        <f t="shared" si="80"/>
        <v>70</v>
      </c>
      <c r="X118" s="5">
        <f t="shared" si="91"/>
        <v>180</v>
      </c>
      <c r="Y118" s="3">
        <f t="shared" si="81"/>
        <v>90</v>
      </c>
      <c r="Z118" s="6">
        <f t="shared" si="82"/>
        <v>20</v>
      </c>
      <c r="AA118" s="7">
        <f t="shared" si="83"/>
        <v>0</v>
      </c>
      <c r="AB118" s="8">
        <f t="shared" si="84"/>
        <v>0</v>
      </c>
      <c r="AC118" s="9">
        <f t="shared" si="85"/>
        <v>1</v>
      </c>
      <c r="AD118" s="9">
        <f t="shared" si="86"/>
        <v>0</v>
      </c>
      <c r="AE118" s="9">
        <f t="shared" si="87"/>
        <v>0</v>
      </c>
      <c r="AF118" s="10">
        <f t="shared" si="88"/>
        <v>90</v>
      </c>
      <c r="AG118" s="8">
        <f t="shared" si="89"/>
        <v>0</v>
      </c>
      <c r="AH118" s="9">
        <f t="shared" si="90"/>
        <v>0</v>
      </c>
      <c r="AI118" s="11"/>
      <c r="AJ118" s="16"/>
      <c r="AK118" s="77"/>
      <c r="AL118" s="78"/>
      <c r="AM118" s="5"/>
      <c r="AN118" s="3"/>
      <c r="AO118" s="6"/>
      <c r="AP118" s="10"/>
      <c r="AQ118" s="7"/>
      <c r="AR118" s="10"/>
      <c r="AS118" s="17"/>
    </row>
    <row r="119" spans="1:45" ht="15">
      <c r="A119" s="11" t="s">
        <v>45</v>
      </c>
      <c r="B119" s="12" t="s">
        <v>46</v>
      </c>
      <c r="C119" s="13">
        <v>10</v>
      </c>
      <c r="D119" s="14">
        <v>3</v>
      </c>
      <c r="E119" s="15" t="s">
        <v>48</v>
      </c>
      <c r="F119" s="13"/>
      <c r="G119" s="16">
        <f t="shared" si="92"/>
        <v>83.465</v>
      </c>
      <c r="H119" s="16">
        <f t="shared" si="92"/>
        <v>83.505</v>
      </c>
      <c r="I119" s="1">
        <f t="shared" si="75"/>
        <v>83.485</v>
      </c>
      <c r="J119" s="51">
        <v>84</v>
      </c>
      <c r="K119" s="51">
        <v>88</v>
      </c>
      <c r="L119" s="14">
        <f t="shared" si="74"/>
        <v>86</v>
      </c>
      <c r="M119" s="52">
        <v>0</v>
      </c>
      <c r="N119" s="53">
        <v>0</v>
      </c>
      <c r="O119" s="53">
        <v>270</v>
      </c>
      <c r="P119" s="53">
        <v>25</v>
      </c>
      <c r="Q119" s="16"/>
      <c r="R119" s="54"/>
      <c r="S119" s="2">
        <f t="shared" si="76"/>
        <v>0</v>
      </c>
      <c r="T119" s="2">
        <f t="shared" si="77"/>
        <v>-0.42261826174069944</v>
      </c>
      <c r="U119" s="2">
        <f t="shared" si="78"/>
        <v>-0.9063077870366499</v>
      </c>
      <c r="V119" s="3">
        <f t="shared" si="79"/>
        <v>270</v>
      </c>
      <c r="W119" s="4">
        <f t="shared" si="80"/>
        <v>-65.00000000000001</v>
      </c>
      <c r="X119" s="5">
        <f t="shared" si="91"/>
        <v>270</v>
      </c>
      <c r="Y119" s="3">
        <f t="shared" si="81"/>
        <v>180</v>
      </c>
      <c r="Z119" s="6">
        <f t="shared" si="82"/>
        <v>24.999999999999986</v>
      </c>
      <c r="AA119" s="7">
        <f t="shared" si="83"/>
        <v>90</v>
      </c>
      <c r="AB119" s="8">
        <f t="shared" si="84"/>
        <v>90</v>
      </c>
      <c r="AC119" s="9">
        <f t="shared" si="85"/>
        <v>6.1257422745431E-17</v>
      </c>
      <c r="AD119" s="9">
        <f t="shared" si="86"/>
        <v>0.90630778703665</v>
      </c>
      <c r="AE119" s="9">
        <f t="shared" si="87"/>
        <v>0.4226182617406992</v>
      </c>
      <c r="AF119" s="10">
        <f t="shared" si="88"/>
        <v>270</v>
      </c>
      <c r="AG119" s="8">
        <f t="shared" si="89"/>
        <v>24.999999999999986</v>
      </c>
      <c r="AH119" s="9">
        <f t="shared" si="90"/>
        <v>7.886018244477813E-21</v>
      </c>
      <c r="AI119" s="11"/>
      <c r="AJ119" s="16"/>
      <c r="AK119" s="77"/>
      <c r="AL119" s="78"/>
      <c r="AM119" s="5"/>
      <c r="AN119" s="3"/>
      <c r="AO119" s="6"/>
      <c r="AP119" s="10"/>
      <c r="AQ119" s="7"/>
      <c r="AR119" s="10"/>
      <c r="AS119" s="17"/>
    </row>
    <row r="120" spans="1:45" ht="15">
      <c r="A120" s="11" t="s">
        <v>45</v>
      </c>
      <c r="B120" s="12" t="s">
        <v>46</v>
      </c>
      <c r="C120" s="13">
        <v>10</v>
      </c>
      <c r="D120" s="14">
        <v>3</v>
      </c>
      <c r="E120" s="15" t="s">
        <v>48</v>
      </c>
      <c r="F120" s="13"/>
      <c r="G120" s="16">
        <f t="shared" si="92"/>
        <v>83.755</v>
      </c>
      <c r="H120" s="16">
        <f t="shared" si="92"/>
        <v>83.785</v>
      </c>
      <c r="I120" s="1">
        <f t="shared" si="75"/>
        <v>83.77</v>
      </c>
      <c r="J120" s="51">
        <v>113</v>
      </c>
      <c r="K120" s="51">
        <v>116</v>
      </c>
      <c r="L120" s="14">
        <f t="shared" si="74"/>
        <v>114.5</v>
      </c>
      <c r="M120" s="52">
        <v>0</v>
      </c>
      <c r="N120" s="53">
        <v>8</v>
      </c>
      <c r="O120" s="53">
        <v>90</v>
      </c>
      <c r="P120" s="53">
        <v>10</v>
      </c>
      <c r="Q120" s="16"/>
      <c r="R120" s="54"/>
      <c r="S120" s="2">
        <f t="shared" si="76"/>
        <v>-0.1370587488362232</v>
      </c>
      <c r="T120" s="2">
        <f t="shared" si="77"/>
        <v>-0.17195824553872419</v>
      </c>
      <c r="U120" s="2">
        <f t="shared" si="78"/>
        <v>0.9752236716571246</v>
      </c>
      <c r="V120" s="3">
        <f t="shared" si="79"/>
        <v>231.4435189844056</v>
      </c>
      <c r="W120" s="4">
        <f t="shared" si="80"/>
        <v>77.29323689420146</v>
      </c>
      <c r="X120" s="5">
        <f t="shared" si="91"/>
        <v>51.443518984405614</v>
      </c>
      <c r="Y120" s="3">
        <f t="shared" si="81"/>
        <v>321.4435189844056</v>
      </c>
      <c r="Z120" s="6">
        <f t="shared" si="82"/>
        <v>12.706763105798544</v>
      </c>
      <c r="AA120" s="7">
        <f t="shared" si="83"/>
        <v>127.86598992643894</v>
      </c>
      <c r="AB120" s="8">
        <f t="shared" si="84"/>
        <v>127.86598992643894</v>
      </c>
      <c r="AC120" s="9">
        <f t="shared" si="85"/>
        <v>-0.6138167012495228</v>
      </c>
      <c r="AD120" s="9">
        <f t="shared" si="86"/>
        <v>0.7701138666847314</v>
      </c>
      <c r="AE120" s="9">
        <f t="shared" si="87"/>
        <v>0.17364817766693036</v>
      </c>
      <c r="AF120" s="10">
        <f t="shared" si="88"/>
        <v>89.99999999999997</v>
      </c>
      <c r="AG120" s="8">
        <f t="shared" si="89"/>
        <v>10.000000000000002</v>
      </c>
      <c r="AH120" s="9">
        <f t="shared" si="90"/>
        <v>-3.246793694120222E-05</v>
      </c>
      <c r="AI120" s="11"/>
      <c r="AJ120" s="16"/>
      <c r="AK120" s="77"/>
      <c r="AL120" s="78"/>
      <c r="AM120" s="5"/>
      <c r="AN120" s="3"/>
      <c r="AO120" s="6"/>
      <c r="AP120" s="10"/>
      <c r="AQ120" s="7"/>
      <c r="AR120" s="10"/>
      <c r="AS120" s="17"/>
    </row>
    <row r="121" spans="1:46" ht="15">
      <c r="A121" s="11" t="s">
        <v>45</v>
      </c>
      <c r="B121" s="12" t="s">
        <v>46</v>
      </c>
      <c r="C121" s="13">
        <v>10</v>
      </c>
      <c r="D121" s="14">
        <v>3</v>
      </c>
      <c r="E121" s="19" t="s">
        <v>47</v>
      </c>
      <c r="F121" s="13" t="s">
        <v>57</v>
      </c>
      <c r="G121" s="16">
        <f t="shared" si="92"/>
        <v>83.775</v>
      </c>
      <c r="H121" s="16">
        <f t="shared" si="92"/>
        <v>83.805</v>
      </c>
      <c r="I121" s="1">
        <f t="shared" si="75"/>
        <v>83.79</v>
      </c>
      <c r="J121" s="51">
        <v>115</v>
      </c>
      <c r="K121" s="51">
        <v>118</v>
      </c>
      <c r="L121" s="14">
        <f t="shared" si="74"/>
        <v>116.5</v>
      </c>
      <c r="M121" s="52">
        <v>0</v>
      </c>
      <c r="N121" s="53">
        <v>30</v>
      </c>
      <c r="O121" s="53">
        <v>270</v>
      </c>
      <c r="P121" s="53">
        <v>26</v>
      </c>
      <c r="Q121" s="16"/>
      <c r="R121" s="54"/>
      <c r="S121" s="2">
        <f t="shared" si="76"/>
        <v>0.44939702314958346</v>
      </c>
      <c r="T121" s="2">
        <f t="shared" si="77"/>
        <v>-0.37964054940545827</v>
      </c>
      <c r="U121" s="2">
        <f t="shared" si="78"/>
        <v>-0.7783784768652856</v>
      </c>
      <c r="V121" s="3">
        <f t="shared" si="79"/>
        <v>319.80962440910366</v>
      </c>
      <c r="W121" s="4">
        <f t="shared" si="80"/>
        <v>-52.918427478822196</v>
      </c>
      <c r="X121" s="5">
        <f t="shared" si="91"/>
        <v>319.80962440910366</v>
      </c>
      <c r="Y121" s="3">
        <f t="shared" si="81"/>
        <v>229.80962440910366</v>
      </c>
      <c r="Z121" s="6">
        <f t="shared" si="82"/>
        <v>37.081572521177804</v>
      </c>
      <c r="AA121" s="7">
        <f t="shared" si="83"/>
        <v>46.63900197716808</v>
      </c>
      <c r="AB121" s="8">
        <f t="shared" si="84"/>
        <v>46.63900197716808</v>
      </c>
      <c r="AC121" s="9">
        <f t="shared" si="85"/>
        <v>0.6865927628914923</v>
      </c>
      <c r="AD121" s="9">
        <f t="shared" si="86"/>
        <v>0.5800182028245805</v>
      </c>
      <c r="AE121" s="9">
        <f t="shared" si="87"/>
        <v>0.43837114678907746</v>
      </c>
      <c r="AF121" s="10">
        <f t="shared" si="88"/>
        <v>270</v>
      </c>
      <c r="AG121" s="8">
        <f t="shared" si="89"/>
        <v>26.000000000000004</v>
      </c>
      <c r="AH121" s="9">
        <f t="shared" si="90"/>
        <v>9.168141062977128E-05</v>
      </c>
      <c r="AI121" s="11"/>
      <c r="AJ121" s="16"/>
      <c r="AK121" s="77"/>
      <c r="AL121" s="78"/>
      <c r="AM121" s="5"/>
      <c r="AN121" s="3"/>
      <c r="AO121" s="6"/>
      <c r="AP121" s="10"/>
      <c r="AQ121" s="7"/>
      <c r="AR121" s="10"/>
      <c r="AS121" s="17"/>
      <c r="AT121" s="18" t="s">
        <v>65</v>
      </c>
    </row>
    <row r="122" spans="1:45" ht="15">
      <c r="A122" s="11" t="s">
        <v>45</v>
      </c>
      <c r="B122" s="12" t="s">
        <v>46</v>
      </c>
      <c r="C122" s="13">
        <v>10</v>
      </c>
      <c r="D122" s="14">
        <v>4</v>
      </c>
      <c r="E122" s="15" t="s">
        <v>48</v>
      </c>
      <c r="F122" s="13"/>
      <c r="G122" s="16">
        <f>84.03+J122/100</f>
        <v>84.29</v>
      </c>
      <c r="H122" s="16">
        <f>84.03+K122/100</f>
        <v>84.3</v>
      </c>
      <c r="I122" s="1">
        <f t="shared" si="75"/>
        <v>84.295</v>
      </c>
      <c r="J122" s="51">
        <v>26</v>
      </c>
      <c r="K122" s="51">
        <v>27</v>
      </c>
      <c r="L122" s="14">
        <f t="shared" si="74"/>
        <v>26.5</v>
      </c>
      <c r="M122" s="52">
        <v>0</v>
      </c>
      <c r="N122" s="53">
        <v>0</v>
      </c>
      <c r="O122" s="53">
        <v>270</v>
      </c>
      <c r="P122" s="53">
        <v>0</v>
      </c>
      <c r="Q122" s="16"/>
      <c r="R122" s="54"/>
      <c r="S122" s="2">
        <f t="shared" si="76"/>
        <v>0</v>
      </c>
      <c r="T122" s="2">
        <f t="shared" si="77"/>
        <v>0</v>
      </c>
      <c r="U122" s="2">
        <f t="shared" si="78"/>
        <v>-1</v>
      </c>
      <c r="V122" s="3">
        <f t="shared" si="79"/>
        <v>90</v>
      </c>
      <c r="W122" s="4">
        <f t="shared" si="80"/>
        <v>-90</v>
      </c>
      <c r="X122" s="5">
        <f t="shared" si="91"/>
        <v>90</v>
      </c>
      <c r="Y122" s="3">
        <f t="shared" si="81"/>
        <v>0</v>
      </c>
      <c r="Z122" s="6">
        <f t="shared" si="82"/>
        <v>0</v>
      </c>
      <c r="AA122" s="7">
        <f t="shared" si="83"/>
        <v>90</v>
      </c>
      <c r="AB122" s="8">
        <f t="shared" si="84"/>
        <v>90</v>
      </c>
      <c r="AC122" s="9">
        <f t="shared" si="85"/>
        <v>6.1257422745431E-17</v>
      </c>
      <c r="AD122" s="9">
        <f t="shared" si="86"/>
        <v>1</v>
      </c>
      <c r="AE122" s="9">
        <f t="shared" si="87"/>
        <v>0</v>
      </c>
      <c r="AF122" s="10">
        <f t="shared" si="88"/>
        <v>90</v>
      </c>
      <c r="AG122" s="8">
        <f t="shared" si="89"/>
        <v>0</v>
      </c>
      <c r="AH122" s="9">
        <f t="shared" si="90"/>
        <v>0</v>
      </c>
      <c r="AI122" s="11"/>
      <c r="AJ122" s="16"/>
      <c r="AK122" s="77"/>
      <c r="AL122" s="78"/>
      <c r="AM122" s="5"/>
      <c r="AN122" s="3"/>
      <c r="AO122" s="6"/>
      <c r="AP122" s="10"/>
      <c r="AQ122" s="7"/>
      <c r="AR122" s="10"/>
      <c r="AS122" s="17"/>
    </row>
    <row r="123" spans="1:45" ht="15">
      <c r="A123" s="11" t="s">
        <v>45</v>
      </c>
      <c r="B123" s="12" t="s">
        <v>46</v>
      </c>
      <c r="C123" s="13">
        <v>10</v>
      </c>
      <c r="D123" s="14">
        <v>4</v>
      </c>
      <c r="E123" s="15" t="s">
        <v>48</v>
      </c>
      <c r="F123" s="13"/>
      <c r="G123" s="16">
        <f>84.03+J123/100</f>
        <v>84.59</v>
      </c>
      <c r="H123" s="16">
        <f>84.03+K123/100</f>
        <v>84.6</v>
      </c>
      <c r="I123" s="1">
        <f t="shared" si="75"/>
        <v>84.595</v>
      </c>
      <c r="J123" s="51">
        <v>56</v>
      </c>
      <c r="K123" s="51">
        <v>57</v>
      </c>
      <c r="L123" s="14">
        <f aca="true" t="shared" si="93" ref="L123:L154">(+J123+K123)/2</f>
        <v>56.5</v>
      </c>
      <c r="M123" s="52">
        <v>0</v>
      </c>
      <c r="N123" s="53">
        <v>0</v>
      </c>
      <c r="O123" s="53">
        <v>270</v>
      </c>
      <c r="P123" s="53">
        <v>0</v>
      </c>
      <c r="Q123" s="16"/>
      <c r="R123" s="54"/>
      <c r="S123" s="2">
        <f t="shared" si="76"/>
        <v>0</v>
      </c>
      <c r="T123" s="2">
        <f t="shared" si="77"/>
        <v>0</v>
      </c>
      <c r="U123" s="2">
        <f t="shared" si="78"/>
        <v>-1</v>
      </c>
      <c r="V123" s="3">
        <f t="shared" si="79"/>
        <v>90</v>
      </c>
      <c r="W123" s="4">
        <f t="shared" si="80"/>
        <v>-90</v>
      </c>
      <c r="X123" s="5">
        <f t="shared" si="91"/>
        <v>90</v>
      </c>
      <c r="Y123" s="3">
        <f t="shared" si="81"/>
        <v>0</v>
      </c>
      <c r="Z123" s="6">
        <f t="shared" si="82"/>
        <v>0</v>
      </c>
      <c r="AA123" s="7">
        <f t="shared" si="83"/>
        <v>90</v>
      </c>
      <c r="AB123" s="8">
        <f t="shared" si="84"/>
        <v>90</v>
      </c>
      <c r="AC123" s="9">
        <f t="shared" si="85"/>
        <v>6.1257422745431E-17</v>
      </c>
      <c r="AD123" s="9">
        <f t="shared" si="86"/>
        <v>1</v>
      </c>
      <c r="AE123" s="9">
        <f t="shared" si="87"/>
        <v>0</v>
      </c>
      <c r="AF123" s="10">
        <f t="shared" si="88"/>
        <v>90</v>
      </c>
      <c r="AG123" s="8">
        <f t="shared" si="89"/>
        <v>0</v>
      </c>
      <c r="AH123" s="9">
        <f t="shared" si="90"/>
        <v>0</v>
      </c>
      <c r="AI123" s="11"/>
      <c r="AJ123" s="16"/>
      <c r="AK123" s="77"/>
      <c r="AL123" s="78"/>
      <c r="AM123" s="5"/>
      <c r="AN123" s="3"/>
      <c r="AO123" s="6"/>
      <c r="AP123" s="10"/>
      <c r="AQ123" s="7"/>
      <c r="AR123" s="10"/>
      <c r="AS123" s="17"/>
    </row>
    <row r="124" spans="1:45" ht="15">
      <c r="A124" s="11" t="s">
        <v>45</v>
      </c>
      <c r="B124" s="13" t="s">
        <v>46</v>
      </c>
      <c r="C124" s="13">
        <v>10</v>
      </c>
      <c r="D124" s="14">
        <v>6</v>
      </c>
      <c r="E124" s="15" t="s">
        <v>48</v>
      </c>
      <c r="F124" s="13"/>
      <c r="G124" s="16">
        <f>84.89+J124/100</f>
        <v>84.98</v>
      </c>
      <c r="H124" s="16">
        <f>84.89+K124/100</f>
        <v>85</v>
      </c>
      <c r="I124" s="1">
        <f t="shared" si="75"/>
        <v>84.99000000000001</v>
      </c>
      <c r="J124" s="51">
        <v>9</v>
      </c>
      <c r="K124" s="51">
        <v>11</v>
      </c>
      <c r="L124" s="14">
        <f t="shared" si="93"/>
        <v>10</v>
      </c>
      <c r="M124" s="52">
        <v>180</v>
      </c>
      <c r="N124" s="53">
        <v>7</v>
      </c>
      <c r="O124" s="53">
        <v>90</v>
      </c>
      <c r="P124" s="53">
        <v>11</v>
      </c>
      <c r="Q124" s="16"/>
      <c r="R124" s="54"/>
      <c r="S124" s="2">
        <f t="shared" si="76"/>
        <v>-0.11963026031541103</v>
      </c>
      <c r="T124" s="2">
        <f t="shared" si="77"/>
        <v>0.18938673405953635</v>
      </c>
      <c r="U124" s="2">
        <f t="shared" si="78"/>
        <v>-0.9743102832774889</v>
      </c>
      <c r="V124" s="3">
        <f t="shared" si="79"/>
        <v>122.27944745204488</v>
      </c>
      <c r="W124" s="4">
        <f t="shared" si="80"/>
        <v>-77.05199762894225</v>
      </c>
      <c r="X124" s="5">
        <f t="shared" si="91"/>
        <v>122.27944745204488</v>
      </c>
      <c r="Y124" s="3">
        <f t="shared" si="81"/>
        <v>32.27944745204488</v>
      </c>
      <c r="Z124" s="6">
        <f t="shared" si="82"/>
        <v>12.948002371057754</v>
      </c>
      <c r="AA124" s="7">
        <f t="shared" si="83"/>
        <v>58.38309892312023</v>
      </c>
      <c r="AB124" s="8">
        <f t="shared" si="84"/>
        <v>58.38309892312023</v>
      </c>
      <c r="AC124" s="9">
        <f t="shared" si="85"/>
        <v>0.5242371251026234</v>
      </c>
      <c r="AD124" s="9">
        <f t="shared" si="86"/>
        <v>0.8299200949172939</v>
      </c>
      <c r="AE124" s="9">
        <f t="shared" si="87"/>
        <v>0.19080899537654483</v>
      </c>
      <c r="AF124" s="10">
        <f t="shared" si="88"/>
        <v>90</v>
      </c>
      <c r="AG124" s="8">
        <f t="shared" si="89"/>
        <v>11.000000000000002</v>
      </c>
      <c r="AH124" s="9">
        <f t="shared" si="90"/>
        <v>3.0470142904600067E-05</v>
      </c>
      <c r="AI124" s="11"/>
      <c r="AJ124" s="16"/>
      <c r="AK124" s="77"/>
      <c r="AL124" s="78"/>
      <c r="AM124" s="5"/>
      <c r="AN124" s="3"/>
      <c r="AO124" s="6"/>
      <c r="AP124" s="10"/>
      <c r="AQ124" s="7"/>
      <c r="AR124" s="10"/>
      <c r="AS124" s="17"/>
    </row>
    <row r="125" spans="1:45" ht="15">
      <c r="A125" s="11" t="s">
        <v>45</v>
      </c>
      <c r="B125" s="12" t="s">
        <v>46</v>
      </c>
      <c r="C125" s="13">
        <v>10</v>
      </c>
      <c r="D125" s="14">
        <v>6</v>
      </c>
      <c r="E125" s="15" t="s">
        <v>48</v>
      </c>
      <c r="F125" s="13"/>
      <c r="G125" s="16">
        <f>84.89+J125/100</f>
        <v>85.01</v>
      </c>
      <c r="H125" s="16">
        <f>84.89+K125/100</f>
        <v>85.03</v>
      </c>
      <c r="I125" s="1">
        <f t="shared" si="75"/>
        <v>85.02000000000001</v>
      </c>
      <c r="J125" s="51">
        <v>12</v>
      </c>
      <c r="K125" s="51">
        <v>14</v>
      </c>
      <c r="L125" s="14">
        <f t="shared" si="93"/>
        <v>13</v>
      </c>
      <c r="M125" s="52">
        <v>0</v>
      </c>
      <c r="N125" s="53">
        <v>6</v>
      </c>
      <c r="O125" s="53">
        <v>270</v>
      </c>
      <c r="P125" s="53">
        <v>11</v>
      </c>
      <c r="Q125" s="16"/>
      <c r="R125" s="54"/>
      <c r="S125" s="2">
        <f t="shared" si="76"/>
        <v>0.10260798098753926</v>
      </c>
      <c r="T125" s="2">
        <f t="shared" si="77"/>
        <v>-0.18976372373519745</v>
      </c>
      <c r="U125" s="2">
        <f t="shared" si="78"/>
        <v>-0.9762497270273904</v>
      </c>
      <c r="V125" s="3">
        <f t="shared" si="79"/>
        <v>298.40072852757675</v>
      </c>
      <c r="W125" s="4">
        <f t="shared" si="80"/>
        <v>-77.5392271015405</v>
      </c>
      <c r="X125" s="5">
        <f t="shared" si="91"/>
        <v>298.40072852757675</v>
      </c>
      <c r="Y125" s="3">
        <f t="shared" si="81"/>
        <v>208.40072852757675</v>
      </c>
      <c r="Z125" s="6">
        <f t="shared" si="82"/>
        <v>12.460772898459496</v>
      </c>
      <c r="AA125" s="7">
        <f t="shared" si="83"/>
        <v>62.166961962096615</v>
      </c>
      <c r="AB125" s="8">
        <f t="shared" si="84"/>
        <v>62.166961962096615</v>
      </c>
      <c r="AC125" s="9">
        <f t="shared" si="85"/>
        <v>0.46689663210495047</v>
      </c>
      <c r="AD125" s="9">
        <f t="shared" si="86"/>
        <v>0.8634810143902691</v>
      </c>
      <c r="AE125" s="9">
        <f t="shared" si="87"/>
        <v>0.19080899537654472</v>
      </c>
      <c r="AF125" s="10">
        <f t="shared" si="88"/>
        <v>270</v>
      </c>
      <c r="AG125" s="8">
        <f t="shared" si="89"/>
        <v>10.999999999999995</v>
      </c>
      <c r="AH125" s="9">
        <f t="shared" si="90"/>
        <v>2.7137429741230917E-05</v>
      </c>
      <c r="AI125" s="11"/>
      <c r="AJ125" s="16"/>
      <c r="AK125" s="77"/>
      <c r="AL125" s="78"/>
      <c r="AM125" s="5"/>
      <c r="AN125" s="3"/>
      <c r="AO125" s="6"/>
      <c r="AP125" s="10"/>
      <c r="AQ125" s="7"/>
      <c r="AR125" s="10"/>
      <c r="AS125" s="17"/>
    </row>
    <row r="126" spans="1:45" ht="15">
      <c r="A126" s="11" t="s">
        <v>45</v>
      </c>
      <c r="B126" s="12" t="s">
        <v>46</v>
      </c>
      <c r="C126" s="13">
        <v>10</v>
      </c>
      <c r="D126" s="14">
        <v>7</v>
      </c>
      <c r="E126" s="15" t="s">
        <v>48</v>
      </c>
      <c r="F126" s="13"/>
      <c r="G126" s="16">
        <f aca="true" t="shared" si="94" ref="G126:H128">86.29+J126/100</f>
        <v>86.89</v>
      </c>
      <c r="H126" s="16">
        <f t="shared" si="94"/>
        <v>86.92</v>
      </c>
      <c r="I126" s="1">
        <f t="shared" si="75"/>
        <v>86.905</v>
      </c>
      <c r="J126" s="51">
        <v>60</v>
      </c>
      <c r="K126" s="51">
        <v>63</v>
      </c>
      <c r="L126" s="14">
        <f t="shared" si="93"/>
        <v>61.5</v>
      </c>
      <c r="M126" s="52">
        <v>270</v>
      </c>
      <c r="N126" s="53">
        <v>18</v>
      </c>
      <c r="O126" s="53">
        <v>0</v>
      </c>
      <c r="P126" s="53">
        <v>0</v>
      </c>
      <c r="Q126" s="16"/>
      <c r="R126" s="54"/>
      <c r="S126" s="2">
        <f t="shared" si="76"/>
        <v>0</v>
      </c>
      <c r="T126" s="2">
        <f t="shared" si="77"/>
        <v>0.3090169943749474</v>
      </c>
      <c r="U126" s="2">
        <f t="shared" si="78"/>
        <v>0.9510565162951535</v>
      </c>
      <c r="V126" s="3">
        <f t="shared" si="79"/>
        <v>90</v>
      </c>
      <c r="W126" s="4">
        <f t="shared" si="80"/>
        <v>72</v>
      </c>
      <c r="X126" s="5">
        <f t="shared" si="91"/>
        <v>270</v>
      </c>
      <c r="Y126" s="3">
        <f t="shared" si="81"/>
        <v>180</v>
      </c>
      <c r="Z126" s="6">
        <f t="shared" si="82"/>
        <v>18</v>
      </c>
      <c r="AA126" s="7">
        <f t="shared" si="83"/>
        <v>90.00000000000001</v>
      </c>
      <c r="AB126" s="8">
        <f t="shared" si="84"/>
        <v>90.00000000000001</v>
      </c>
      <c r="AC126" s="9">
        <f t="shared" si="85"/>
        <v>-3.828317871046316E-16</v>
      </c>
      <c r="AD126" s="9">
        <f t="shared" si="86"/>
        <v>0.9510565162951535</v>
      </c>
      <c r="AE126" s="9">
        <f t="shared" si="87"/>
        <v>0.3090169943749474</v>
      </c>
      <c r="AF126" s="10">
        <f t="shared" si="88"/>
        <v>270</v>
      </c>
      <c r="AG126" s="8">
        <f t="shared" si="89"/>
        <v>18</v>
      </c>
      <c r="AH126" s="9">
        <f t="shared" si="90"/>
        <v>-3.6036531569846476E-20</v>
      </c>
      <c r="AI126" s="11"/>
      <c r="AJ126" s="16"/>
      <c r="AK126" s="77"/>
      <c r="AL126" s="78"/>
      <c r="AM126" s="5"/>
      <c r="AN126" s="3"/>
      <c r="AO126" s="6"/>
      <c r="AP126" s="10"/>
      <c r="AQ126" s="7"/>
      <c r="AR126" s="10"/>
      <c r="AS126" s="17"/>
    </row>
    <row r="127" spans="1:45" ht="15">
      <c r="A127" s="11" t="s">
        <v>45</v>
      </c>
      <c r="B127" s="12" t="s">
        <v>46</v>
      </c>
      <c r="C127" s="13">
        <v>10</v>
      </c>
      <c r="D127" s="14">
        <v>7</v>
      </c>
      <c r="E127" s="15" t="s">
        <v>48</v>
      </c>
      <c r="F127" s="13"/>
      <c r="G127" s="16">
        <f t="shared" si="94"/>
        <v>87.32000000000001</v>
      </c>
      <c r="H127" s="16">
        <f t="shared" si="94"/>
        <v>87.35000000000001</v>
      </c>
      <c r="I127" s="1">
        <f t="shared" si="75"/>
        <v>87.33500000000001</v>
      </c>
      <c r="J127" s="51">
        <v>103</v>
      </c>
      <c r="K127" s="51">
        <v>106</v>
      </c>
      <c r="L127" s="14">
        <f t="shared" si="93"/>
        <v>104.5</v>
      </c>
      <c r="M127" s="52">
        <v>0</v>
      </c>
      <c r="N127" s="53">
        <v>2</v>
      </c>
      <c r="O127" s="53">
        <v>90</v>
      </c>
      <c r="P127" s="53">
        <v>12</v>
      </c>
      <c r="Q127" s="16"/>
      <c r="R127" s="54"/>
      <c r="S127" s="2">
        <f t="shared" si="76"/>
        <v>-0.034136858966368686</v>
      </c>
      <c r="T127" s="2">
        <f t="shared" si="77"/>
        <v>-0.20778503663329903</v>
      </c>
      <c r="U127" s="2">
        <f t="shared" si="78"/>
        <v>0.9775517396441024</v>
      </c>
      <c r="V127" s="3">
        <f t="shared" si="79"/>
        <v>260.6702601096727</v>
      </c>
      <c r="W127" s="4">
        <f t="shared" si="80"/>
        <v>77.84388646271455</v>
      </c>
      <c r="X127" s="5">
        <f t="shared" si="91"/>
        <v>80.67026010967271</v>
      </c>
      <c r="Y127" s="3">
        <f t="shared" si="81"/>
        <v>350.6702601096727</v>
      </c>
      <c r="Z127" s="6">
        <f t="shared" si="82"/>
        <v>12.15611353728545</v>
      </c>
      <c r="AA127" s="7">
        <f t="shared" si="83"/>
        <v>99.12410161189696</v>
      </c>
      <c r="AB127" s="8">
        <f t="shared" si="84"/>
        <v>99.12410161189696</v>
      </c>
      <c r="AC127" s="9">
        <f t="shared" si="85"/>
        <v>-0.1585734113185196</v>
      </c>
      <c r="AD127" s="9">
        <f t="shared" si="86"/>
        <v>0.965208372344598</v>
      </c>
      <c r="AE127" s="9">
        <f t="shared" si="87"/>
        <v>0.207911690817759</v>
      </c>
      <c r="AF127" s="10">
        <f t="shared" si="88"/>
        <v>90</v>
      </c>
      <c r="AG127" s="8">
        <f t="shared" si="89"/>
        <v>11.999999999999982</v>
      </c>
      <c r="AH127" s="9">
        <f t="shared" si="90"/>
        <v>-1.0042977899441988E-05</v>
      </c>
      <c r="AI127" s="11"/>
      <c r="AJ127" s="16"/>
      <c r="AK127" s="77"/>
      <c r="AL127" s="78"/>
      <c r="AM127" s="5"/>
      <c r="AN127" s="3"/>
      <c r="AO127" s="6"/>
      <c r="AP127" s="10"/>
      <c r="AQ127" s="7"/>
      <c r="AR127" s="10"/>
      <c r="AS127" s="17"/>
    </row>
    <row r="128" spans="1:45" ht="15">
      <c r="A128" s="11" t="s">
        <v>45</v>
      </c>
      <c r="B128" s="12" t="s">
        <v>46</v>
      </c>
      <c r="C128" s="13">
        <v>10</v>
      </c>
      <c r="D128" s="14">
        <v>7</v>
      </c>
      <c r="E128" s="15" t="s">
        <v>48</v>
      </c>
      <c r="F128" s="13"/>
      <c r="G128" s="16">
        <f t="shared" si="94"/>
        <v>87.59</v>
      </c>
      <c r="H128" s="16">
        <f t="shared" si="94"/>
        <v>87.59</v>
      </c>
      <c r="I128" s="1">
        <f t="shared" si="75"/>
        <v>87.59</v>
      </c>
      <c r="J128" s="51">
        <v>130</v>
      </c>
      <c r="K128" s="51">
        <v>130</v>
      </c>
      <c r="L128" s="14">
        <f t="shared" si="93"/>
        <v>130</v>
      </c>
      <c r="M128" s="52">
        <v>0</v>
      </c>
      <c r="N128" s="53">
        <v>0</v>
      </c>
      <c r="O128" s="53">
        <v>90</v>
      </c>
      <c r="P128" s="53">
        <v>0</v>
      </c>
      <c r="Q128" s="16"/>
      <c r="R128" s="54"/>
      <c r="S128" s="2">
        <f t="shared" si="76"/>
        <v>0</v>
      </c>
      <c r="T128" s="2">
        <f t="shared" si="77"/>
        <v>0</v>
      </c>
      <c r="U128" s="2">
        <f t="shared" si="78"/>
        <v>1</v>
      </c>
      <c r="V128" s="3">
        <f t="shared" si="79"/>
        <v>90</v>
      </c>
      <c r="W128" s="4">
        <f t="shared" si="80"/>
        <v>90</v>
      </c>
      <c r="X128" s="5">
        <f t="shared" si="91"/>
        <v>270</v>
      </c>
      <c r="Y128" s="3">
        <f t="shared" si="81"/>
        <v>180</v>
      </c>
      <c r="Z128" s="6">
        <f t="shared" si="82"/>
        <v>0</v>
      </c>
      <c r="AA128" s="7">
        <f t="shared" si="83"/>
        <v>89.99999999999999</v>
      </c>
      <c r="AB128" s="8">
        <f t="shared" si="84"/>
        <v>89.99999999999999</v>
      </c>
      <c r="AC128" s="9">
        <f t="shared" si="85"/>
        <v>2.833020276704623E-16</v>
      </c>
      <c r="AD128" s="9">
        <f t="shared" si="86"/>
        <v>1</v>
      </c>
      <c r="AE128" s="9">
        <f t="shared" si="87"/>
        <v>0</v>
      </c>
      <c r="AF128" s="10">
        <f t="shared" si="88"/>
        <v>270</v>
      </c>
      <c r="AG128" s="8">
        <f t="shared" si="89"/>
        <v>0</v>
      </c>
      <c r="AH128" s="9">
        <f t="shared" si="90"/>
        <v>0</v>
      </c>
      <c r="AI128" s="11"/>
      <c r="AJ128" s="16"/>
      <c r="AK128" s="77"/>
      <c r="AL128" s="78"/>
      <c r="AM128" s="5"/>
      <c r="AN128" s="3"/>
      <c r="AO128" s="6"/>
      <c r="AP128" s="10"/>
      <c r="AQ128" s="7"/>
      <c r="AR128" s="10"/>
      <c r="AS128" s="17"/>
    </row>
    <row r="129" spans="1:45" ht="15">
      <c r="A129" s="11" t="s">
        <v>45</v>
      </c>
      <c r="B129" s="12" t="s">
        <v>46</v>
      </c>
      <c r="C129" s="13">
        <v>10</v>
      </c>
      <c r="D129" s="14">
        <v>8</v>
      </c>
      <c r="E129" s="15" t="s">
        <v>48</v>
      </c>
      <c r="F129" s="13"/>
      <c r="G129" s="16">
        <f>87.695+J129/100</f>
        <v>87.945</v>
      </c>
      <c r="H129" s="16">
        <f>87.695+K129/100</f>
        <v>87.955</v>
      </c>
      <c r="I129" s="1">
        <f t="shared" si="75"/>
        <v>87.94999999999999</v>
      </c>
      <c r="J129" s="51">
        <v>25</v>
      </c>
      <c r="K129" s="51">
        <v>26</v>
      </c>
      <c r="L129" s="14">
        <f t="shared" si="93"/>
        <v>25.5</v>
      </c>
      <c r="M129" s="52">
        <v>0</v>
      </c>
      <c r="N129" s="53">
        <v>8</v>
      </c>
      <c r="O129" s="53">
        <v>270</v>
      </c>
      <c r="P129" s="53">
        <v>4</v>
      </c>
      <c r="Q129" s="16"/>
      <c r="R129" s="54"/>
      <c r="S129" s="2">
        <f t="shared" si="76"/>
        <v>0.1388340822809423</v>
      </c>
      <c r="T129" s="2">
        <f t="shared" si="77"/>
        <v>-0.06907760853681705</v>
      </c>
      <c r="U129" s="2">
        <f t="shared" si="78"/>
        <v>-0.9878558254968149</v>
      </c>
      <c r="V129" s="3">
        <f t="shared" si="79"/>
        <v>333.5471234031414</v>
      </c>
      <c r="W129" s="4">
        <f t="shared" si="80"/>
        <v>-81.07873627708044</v>
      </c>
      <c r="X129" s="5">
        <f t="shared" si="91"/>
        <v>333.5471234031414</v>
      </c>
      <c r="Y129" s="3">
        <f t="shared" si="81"/>
        <v>243.54712340314143</v>
      </c>
      <c r="Z129" s="6">
        <f t="shared" si="82"/>
        <v>8.921263722919562</v>
      </c>
      <c r="AA129" s="7">
        <f t="shared" si="83"/>
        <v>26.732021932800247</v>
      </c>
      <c r="AB129" s="8">
        <f t="shared" si="84"/>
        <v>26.732021932800247</v>
      </c>
      <c r="AC129" s="9">
        <f t="shared" si="85"/>
        <v>0.8931201297474817</v>
      </c>
      <c r="AD129" s="9">
        <f t="shared" si="86"/>
        <v>0.44437649376472066</v>
      </c>
      <c r="AE129" s="9">
        <f t="shared" si="87"/>
        <v>0.06975647374412505</v>
      </c>
      <c r="AF129" s="10">
        <f t="shared" si="88"/>
        <v>270</v>
      </c>
      <c r="AG129" s="8">
        <f t="shared" si="89"/>
        <v>3.999999999999986</v>
      </c>
      <c r="AH129" s="9">
        <f t="shared" si="90"/>
        <v>1.8977169493681956E-05</v>
      </c>
      <c r="AI129" s="11"/>
      <c r="AJ129" s="16"/>
      <c r="AK129" s="77"/>
      <c r="AL129" s="78"/>
      <c r="AM129" s="5"/>
      <c r="AN129" s="3"/>
      <c r="AO129" s="6"/>
      <c r="AP129" s="10"/>
      <c r="AQ129" s="7"/>
      <c r="AR129" s="10"/>
      <c r="AS129" s="17"/>
    </row>
    <row r="130" spans="1:45" ht="15">
      <c r="A130" s="11" t="s">
        <v>45</v>
      </c>
      <c r="B130" s="12" t="s">
        <v>46</v>
      </c>
      <c r="C130" s="13">
        <v>10</v>
      </c>
      <c r="D130" s="14">
        <v>8</v>
      </c>
      <c r="E130" s="15" t="s">
        <v>48</v>
      </c>
      <c r="F130" s="13"/>
      <c r="G130" s="16">
        <f>87.695+J130/100</f>
        <v>88.375</v>
      </c>
      <c r="H130" s="16">
        <f>87.695+K130/100</f>
        <v>88.38499999999999</v>
      </c>
      <c r="I130" s="1">
        <f t="shared" si="75"/>
        <v>88.38</v>
      </c>
      <c r="J130" s="51">
        <v>68</v>
      </c>
      <c r="K130" s="51">
        <v>69</v>
      </c>
      <c r="L130" s="14">
        <f t="shared" si="93"/>
        <v>68.5</v>
      </c>
      <c r="M130" s="52">
        <v>0</v>
      </c>
      <c r="N130" s="53">
        <v>0</v>
      </c>
      <c r="O130" s="53">
        <v>90</v>
      </c>
      <c r="P130" s="53">
        <v>0</v>
      </c>
      <c r="Q130" s="16"/>
      <c r="R130" s="54"/>
      <c r="S130" s="2">
        <f t="shared" si="76"/>
        <v>0</v>
      </c>
      <c r="T130" s="2">
        <f t="shared" si="77"/>
        <v>0</v>
      </c>
      <c r="U130" s="2">
        <f t="shared" si="78"/>
        <v>1</v>
      </c>
      <c r="V130" s="3">
        <f t="shared" si="79"/>
        <v>90</v>
      </c>
      <c r="W130" s="4">
        <f t="shared" si="80"/>
        <v>90</v>
      </c>
      <c r="X130" s="5">
        <f t="shared" si="91"/>
        <v>270</v>
      </c>
      <c r="Y130" s="3">
        <f t="shared" si="81"/>
        <v>180</v>
      </c>
      <c r="Z130" s="6">
        <f t="shared" si="82"/>
        <v>0</v>
      </c>
      <c r="AA130" s="7">
        <f t="shared" si="83"/>
        <v>89.99999999999999</v>
      </c>
      <c r="AB130" s="8">
        <f t="shared" si="84"/>
        <v>89.99999999999999</v>
      </c>
      <c r="AC130" s="9">
        <f t="shared" si="85"/>
        <v>2.833020276704623E-16</v>
      </c>
      <c r="AD130" s="9">
        <f t="shared" si="86"/>
        <v>1</v>
      </c>
      <c r="AE130" s="9">
        <f t="shared" si="87"/>
        <v>0</v>
      </c>
      <c r="AF130" s="10">
        <f t="shared" si="88"/>
        <v>270</v>
      </c>
      <c r="AG130" s="8">
        <f t="shared" si="89"/>
        <v>0</v>
      </c>
      <c r="AH130" s="9">
        <f t="shared" si="90"/>
        <v>0</v>
      </c>
      <c r="AI130" s="11"/>
      <c r="AJ130" s="16"/>
      <c r="AK130" s="77"/>
      <c r="AL130" s="78"/>
      <c r="AM130" s="5"/>
      <c r="AN130" s="3"/>
      <c r="AO130" s="6"/>
      <c r="AP130" s="10"/>
      <c r="AQ130" s="7"/>
      <c r="AR130" s="10"/>
      <c r="AS130" s="17"/>
    </row>
    <row r="131" spans="1:45" ht="15">
      <c r="A131" s="11" t="s">
        <v>45</v>
      </c>
      <c r="B131" s="12" t="s">
        <v>46</v>
      </c>
      <c r="C131" s="13">
        <v>11</v>
      </c>
      <c r="D131" s="14">
        <v>1</v>
      </c>
      <c r="E131" s="15" t="s">
        <v>48</v>
      </c>
      <c r="F131" s="13"/>
      <c r="G131" s="16">
        <f>90+J131/100</f>
        <v>90.64</v>
      </c>
      <c r="H131" s="16">
        <f>90+K131/100</f>
        <v>90.66</v>
      </c>
      <c r="I131" s="1">
        <f aca="true" t="shared" si="95" ref="I131:I162">(G131+H131)/2</f>
        <v>90.65</v>
      </c>
      <c r="J131" s="51">
        <v>64</v>
      </c>
      <c r="K131" s="51">
        <v>66</v>
      </c>
      <c r="L131" s="14">
        <f t="shared" si="93"/>
        <v>65</v>
      </c>
      <c r="M131" s="52">
        <v>0</v>
      </c>
      <c r="N131" s="53">
        <v>0</v>
      </c>
      <c r="O131" s="53">
        <v>90</v>
      </c>
      <c r="P131" s="53">
        <v>0</v>
      </c>
      <c r="Q131" s="16"/>
      <c r="R131" s="54"/>
      <c r="S131" s="2">
        <f aca="true" t="shared" si="96" ref="S131:S162">COS(N131*PI()/180)*SIN(M131*PI()/180)*(SIN(P131*PI()/180))-(COS(P131*PI()/180)*SIN(O131*PI()/180))*(SIN(N131*PI()/180))</f>
        <v>0</v>
      </c>
      <c r="T131" s="2">
        <f aca="true" t="shared" si="97" ref="T131:T162">(SIN(N131*PI()/180))*(COS(P131*PI()/180)*COS(O131*PI()/180))-(SIN(P131*PI()/180))*(COS(N131*PI()/180)*COS(M131*PI()/180))</f>
        <v>0</v>
      </c>
      <c r="U131" s="2">
        <f aca="true" t="shared" si="98" ref="U131:U162">(COS(N131*PI()/180)*COS(M131*PI()/180))*(COS(P131*PI()/180)*SIN(O131*PI()/180))-(COS(N131*PI()/180)*SIN(M131*PI()/180))*(COS(P131*PI()/180)*COS(O131*PI()/180))</f>
        <v>1</v>
      </c>
      <c r="V131" s="3">
        <f aca="true" t="shared" si="99" ref="V131:V162">IF(S131=0,IF(T131&gt;=0,90,270),IF(S131&gt;0,IF(T131&gt;=0,ATAN(T131/S131)*180/PI(),ATAN(T131/S131)*180/PI()+360),ATAN(T131/S131)*180/PI()+180))</f>
        <v>90</v>
      </c>
      <c r="W131" s="4">
        <f aca="true" t="shared" si="100" ref="W131:W162">ASIN(U131/SQRT(S131^2+T131^2+U131^2))*180/PI()</f>
        <v>90</v>
      </c>
      <c r="X131" s="5">
        <f t="shared" si="91"/>
        <v>270</v>
      </c>
      <c r="Y131" s="3">
        <f aca="true" t="shared" si="101" ref="Y131:Y162">IF(X131-90&lt;0,X131+270,X131-90)</f>
        <v>180</v>
      </c>
      <c r="Z131" s="6">
        <f aca="true" t="shared" si="102" ref="Z131:Z162">IF(U131&lt;0,90+W131,90-W131)</f>
        <v>0</v>
      </c>
      <c r="AA131" s="7">
        <f aca="true" t="shared" si="103" ref="AA131:AA162">IF(-T131&lt;0,180-ACOS(SIN((X131-90)*PI()/180)*U131/SQRT(T131^2+U131^2))*180/PI(),ACOS(SIN((X131-90)*PI()/180)*U131/SQRT(T131^2+U131^2))*180/PI())</f>
        <v>89.99999999999999</v>
      </c>
      <c r="AB131" s="8">
        <f aca="true" t="shared" si="104" ref="AB131:AB162">IF(R131=90,IF(AA131-Q131&lt;0,AA131-Q131+180,AA131-Q131),IF(AA131+Q131&gt;180,AA131+Q131-180,AA131+Q131))</f>
        <v>89.99999999999999</v>
      </c>
      <c r="AC131" s="9">
        <f aca="true" t="shared" si="105" ref="AC131:AC162">COS(AB131*PI()/180)</f>
        <v>2.833020276704623E-16</v>
      </c>
      <c r="AD131" s="9">
        <f aca="true" t="shared" si="106" ref="AD131:AD162">SIN(AB131*PI()/180)*COS(Z131*PI()/180)</f>
        <v>1</v>
      </c>
      <c r="AE131" s="9">
        <f aca="true" t="shared" si="107" ref="AE131:AE162">SIN(AB131*PI()/180)*SIN(Z131*PI()/180)</f>
        <v>0</v>
      </c>
      <c r="AF131" s="10">
        <f aca="true" t="shared" si="108" ref="AF131:AF162">IF(IF(AC131=0,IF(AD131&gt;=0,90,270),IF(AC131&gt;0,IF(AD131&gt;=0,ATAN(AD131/AC131)*180/PI(),ATAN(AD131/AC131)*180/PI()+360),ATAN(AD131/AC131)*180/PI()+180))-(360-Y131)&lt;0,IF(AC131=0,IF(AD131&gt;=0,90,270),IF(AC131&gt;0,IF(AD131&gt;=0,ATAN(AD131/AC131)*180/PI(),ATAN(AD131/AC131)*180/PI()+360),ATAN(AD131/AC131)*180/PI()+180))+Y131,IF(AC131=0,IF(AD131&gt;=0,90,270),IF(AC131&gt;0,IF(AD131&gt;=0,ATAN(AD131/AC131)*180/PI(),ATAN(AD131/AC131)*180/PI()+360),ATAN(AD131/AC131)*180/PI()+180))-(360-Y131))</f>
        <v>270</v>
      </c>
      <c r="AG131" s="8">
        <f aca="true" t="shared" si="109" ref="AG131:AG162">ASIN(AE131/SQRT(AC131^2+AD131^2+AE131^2))*180/PI()</f>
        <v>0</v>
      </c>
      <c r="AH131" s="9">
        <f aca="true" t="shared" si="110" ref="AH131:AH162">SIN(AE131*PI()/180)*SIN(AC131*PI()/180)</f>
        <v>0</v>
      </c>
      <c r="AI131" s="11"/>
      <c r="AJ131" s="16"/>
      <c r="AK131" s="77"/>
      <c r="AL131" s="78"/>
      <c r="AM131" s="5"/>
      <c r="AN131" s="3"/>
      <c r="AO131" s="6"/>
      <c r="AP131" s="10"/>
      <c r="AQ131" s="7"/>
      <c r="AR131" s="10"/>
      <c r="AS131" s="17"/>
    </row>
    <row r="132" spans="1:45" ht="15">
      <c r="A132" s="11" t="s">
        <v>45</v>
      </c>
      <c r="B132" s="12" t="s">
        <v>46</v>
      </c>
      <c r="C132" s="13">
        <v>11</v>
      </c>
      <c r="D132" s="14">
        <v>2</v>
      </c>
      <c r="E132" s="15" t="s">
        <v>48</v>
      </c>
      <c r="F132" s="13"/>
      <c r="G132" s="16">
        <f aca="true" t="shared" si="111" ref="G132:H134">90.97+J132/100</f>
        <v>91.14</v>
      </c>
      <c r="H132" s="16">
        <f t="shared" si="111"/>
        <v>91.14</v>
      </c>
      <c r="I132" s="1">
        <f t="shared" si="95"/>
        <v>91.14</v>
      </c>
      <c r="J132" s="51">
        <v>17</v>
      </c>
      <c r="K132" s="51">
        <v>17</v>
      </c>
      <c r="L132" s="14">
        <f t="shared" si="93"/>
        <v>17</v>
      </c>
      <c r="M132" s="52">
        <v>0</v>
      </c>
      <c r="N132" s="53">
        <v>0</v>
      </c>
      <c r="O132" s="53">
        <v>90</v>
      </c>
      <c r="P132" s="53">
        <v>0</v>
      </c>
      <c r="Q132" s="16"/>
      <c r="R132" s="54"/>
      <c r="S132" s="2">
        <f t="shared" si="96"/>
        <v>0</v>
      </c>
      <c r="T132" s="2">
        <f t="shared" si="97"/>
        <v>0</v>
      </c>
      <c r="U132" s="2">
        <f t="shared" si="98"/>
        <v>1</v>
      </c>
      <c r="V132" s="3">
        <f t="shared" si="99"/>
        <v>90</v>
      </c>
      <c r="W132" s="4">
        <f t="shared" si="100"/>
        <v>90</v>
      </c>
      <c r="X132" s="5">
        <f t="shared" si="91"/>
        <v>270</v>
      </c>
      <c r="Y132" s="3">
        <f t="shared" si="101"/>
        <v>180</v>
      </c>
      <c r="Z132" s="6">
        <f t="shared" si="102"/>
        <v>0</v>
      </c>
      <c r="AA132" s="7">
        <f t="shared" si="103"/>
        <v>89.99999999999999</v>
      </c>
      <c r="AB132" s="8">
        <f t="shared" si="104"/>
        <v>89.99999999999999</v>
      </c>
      <c r="AC132" s="9">
        <f t="shared" si="105"/>
        <v>2.833020276704623E-16</v>
      </c>
      <c r="AD132" s="9">
        <f t="shared" si="106"/>
        <v>1</v>
      </c>
      <c r="AE132" s="9">
        <f t="shared" si="107"/>
        <v>0</v>
      </c>
      <c r="AF132" s="10">
        <f t="shared" si="108"/>
        <v>270</v>
      </c>
      <c r="AG132" s="8">
        <f t="shared" si="109"/>
        <v>0</v>
      </c>
      <c r="AH132" s="9">
        <f t="shared" si="110"/>
        <v>0</v>
      </c>
      <c r="AI132" s="11"/>
      <c r="AJ132" s="16"/>
      <c r="AK132" s="77"/>
      <c r="AL132" s="78"/>
      <c r="AM132" s="5"/>
      <c r="AN132" s="3"/>
      <c r="AO132" s="6"/>
      <c r="AP132" s="10"/>
      <c r="AQ132" s="7"/>
      <c r="AR132" s="10"/>
      <c r="AS132" s="17"/>
    </row>
    <row r="133" spans="1:45" ht="15">
      <c r="A133" s="11" t="s">
        <v>45</v>
      </c>
      <c r="B133" s="12" t="s">
        <v>46</v>
      </c>
      <c r="C133" s="13">
        <v>11</v>
      </c>
      <c r="D133" s="14">
        <v>2</v>
      </c>
      <c r="E133" s="15" t="s">
        <v>48</v>
      </c>
      <c r="F133" s="13"/>
      <c r="G133" s="16">
        <f t="shared" si="111"/>
        <v>91.45</v>
      </c>
      <c r="H133" s="16">
        <f t="shared" si="111"/>
        <v>91.46</v>
      </c>
      <c r="I133" s="1">
        <f t="shared" si="95"/>
        <v>91.455</v>
      </c>
      <c r="J133" s="51">
        <v>48</v>
      </c>
      <c r="K133" s="51">
        <v>49</v>
      </c>
      <c r="L133" s="14">
        <f t="shared" si="93"/>
        <v>48.5</v>
      </c>
      <c r="M133" s="52">
        <v>0</v>
      </c>
      <c r="N133" s="53">
        <v>0</v>
      </c>
      <c r="O133" s="53">
        <v>90</v>
      </c>
      <c r="P133" s="53">
        <v>5</v>
      </c>
      <c r="Q133" s="16"/>
      <c r="R133" s="54"/>
      <c r="S133" s="2">
        <f t="shared" si="96"/>
        <v>0</v>
      </c>
      <c r="T133" s="2">
        <f t="shared" si="97"/>
        <v>-0.08715574274765817</v>
      </c>
      <c r="U133" s="2">
        <f t="shared" si="98"/>
        <v>0.9961946980917455</v>
      </c>
      <c r="V133" s="3">
        <f t="shared" si="99"/>
        <v>270</v>
      </c>
      <c r="W133" s="4">
        <f t="shared" si="100"/>
        <v>85</v>
      </c>
      <c r="X133" s="5">
        <f t="shared" si="91"/>
        <v>90</v>
      </c>
      <c r="Y133" s="3">
        <f t="shared" si="101"/>
        <v>0</v>
      </c>
      <c r="Z133" s="6">
        <f t="shared" si="102"/>
        <v>5</v>
      </c>
      <c r="AA133" s="7">
        <f t="shared" si="103"/>
        <v>90</v>
      </c>
      <c r="AB133" s="8">
        <f t="shared" si="104"/>
        <v>90</v>
      </c>
      <c r="AC133" s="9">
        <f t="shared" si="105"/>
        <v>6.1257422745431E-17</v>
      </c>
      <c r="AD133" s="9">
        <f t="shared" si="106"/>
        <v>0.9961946980917455</v>
      </c>
      <c r="AE133" s="9">
        <f t="shared" si="107"/>
        <v>0.08715574274765817</v>
      </c>
      <c r="AF133" s="10">
        <f t="shared" si="108"/>
        <v>90</v>
      </c>
      <c r="AG133" s="8">
        <f t="shared" si="109"/>
        <v>4.999999999999999</v>
      </c>
      <c r="AH133" s="9">
        <f t="shared" si="110"/>
        <v>1.6263323358063634E-21</v>
      </c>
      <c r="AI133" s="11"/>
      <c r="AJ133" s="16"/>
      <c r="AK133" s="77"/>
      <c r="AL133" s="78"/>
      <c r="AM133" s="5"/>
      <c r="AN133" s="3"/>
      <c r="AO133" s="6"/>
      <c r="AP133" s="10"/>
      <c r="AQ133" s="7"/>
      <c r="AR133" s="10"/>
      <c r="AS133" s="17"/>
    </row>
    <row r="134" spans="1:45" ht="15">
      <c r="A134" s="11" t="s">
        <v>45</v>
      </c>
      <c r="B134" s="12" t="s">
        <v>46</v>
      </c>
      <c r="C134" s="13">
        <v>11</v>
      </c>
      <c r="D134" s="14">
        <v>2</v>
      </c>
      <c r="E134" s="15" t="s">
        <v>48</v>
      </c>
      <c r="F134" s="13"/>
      <c r="G134" s="16">
        <f t="shared" si="111"/>
        <v>91.83</v>
      </c>
      <c r="H134" s="16">
        <f t="shared" si="111"/>
        <v>91.84</v>
      </c>
      <c r="I134" s="1">
        <f t="shared" si="95"/>
        <v>91.83500000000001</v>
      </c>
      <c r="J134" s="51">
        <v>86</v>
      </c>
      <c r="K134" s="51">
        <v>87</v>
      </c>
      <c r="L134" s="14">
        <f t="shared" si="93"/>
        <v>86.5</v>
      </c>
      <c r="M134" s="52">
        <v>0</v>
      </c>
      <c r="N134" s="53">
        <v>0</v>
      </c>
      <c r="O134" s="53">
        <v>90</v>
      </c>
      <c r="P134" s="53">
        <v>0</v>
      </c>
      <c r="Q134" s="16"/>
      <c r="R134" s="54"/>
      <c r="S134" s="2">
        <f t="shared" si="96"/>
        <v>0</v>
      </c>
      <c r="T134" s="2">
        <f t="shared" si="97"/>
        <v>0</v>
      </c>
      <c r="U134" s="2">
        <f t="shared" si="98"/>
        <v>1</v>
      </c>
      <c r="V134" s="3">
        <f t="shared" si="99"/>
        <v>90</v>
      </c>
      <c r="W134" s="4">
        <f t="shared" si="100"/>
        <v>90</v>
      </c>
      <c r="X134" s="5">
        <f t="shared" si="91"/>
        <v>270</v>
      </c>
      <c r="Y134" s="3">
        <f t="shared" si="101"/>
        <v>180</v>
      </c>
      <c r="Z134" s="6">
        <f t="shared" si="102"/>
        <v>0</v>
      </c>
      <c r="AA134" s="7">
        <f t="shared" si="103"/>
        <v>89.99999999999999</v>
      </c>
      <c r="AB134" s="8">
        <f t="shared" si="104"/>
        <v>89.99999999999999</v>
      </c>
      <c r="AC134" s="9">
        <f t="shared" si="105"/>
        <v>2.833020276704623E-16</v>
      </c>
      <c r="AD134" s="9">
        <f t="shared" si="106"/>
        <v>1</v>
      </c>
      <c r="AE134" s="9">
        <f t="shared" si="107"/>
        <v>0</v>
      </c>
      <c r="AF134" s="10">
        <f t="shared" si="108"/>
        <v>270</v>
      </c>
      <c r="AG134" s="8">
        <f t="shared" si="109"/>
        <v>0</v>
      </c>
      <c r="AH134" s="9">
        <f t="shared" si="110"/>
        <v>0</v>
      </c>
      <c r="AI134" s="11"/>
      <c r="AJ134" s="16"/>
      <c r="AK134" s="77"/>
      <c r="AL134" s="78"/>
      <c r="AM134" s="5"/>
      <c r="AN134" s="3"/>
      <c r="AO134" s="6"/>
      <c r="AP134" s="10"/>
      <c r="AQ134" s="7"/>
      <c r="AR134" s="10"/>
      <c r="AS134" s="17"/>
    </row>
    <row r="135" spans="1:46" ht="15">
      <c r="A135" s="11" t="s">
        <v>45</v>
      </c>
      <c r="B135" s="12" t="s">
        <v>46</v>
      </c>
      <c r="C135" s="13">
        <v>11</v>
      </c>
      <c r="D135" s="14">
        <v>4</v>
      </c>
      <c r="E135" s="19" t="s">
        <v>47</v>
      </c>
      <c r="F135" s="60" t="s">
        <v>63</v>
      </c>
      <c r="G135" s="16">
        <f>92.495+J135/100</f>
        <v>92.815</v>
      </c>
      <c r="H135" s="16">
        <f>92.495+K135/100</f>
        <v>92.965</v>
      </c>
      <c r="I135" s="1">
        <f t="shared" si="95"/>
        <v>92.89</v>
      </c>
      <c r="J135" s="51">
        <v>32</v>
      </c>
      <c r="K135" s="51">
        <v>47</v>
      </c>
      <c r="L135" s="14">
        <f t="shared" si="93"/>
        <v>39.5</v>
      </c>
      <c r="M135" s="52">
        <v>180</v>
      </c>
      <c r="N135" s="53">
        <v>64</v>
      </c>
      <c r="O135" s="53">
        <v>270</v>
      </c>
      <c r="P135" s="53">
        <v>57</v>
      </c>
      <c r="Q135" s="16"/>
      <c r="R135" s="54"/>
      <c r="S135" s="2">
        <f t="shared" si="96"/>
        <v>0.48951832205363005</v>
      </c>
      <c r="T135" s="2">
        <f t="shared" si="97"/>
        <v>0.3676489786484823</v>
      </c>
      <c r="U135" s="2">
        <f t="shared" si="98"/>
        <v>0.238754038365634</v>
      </c>
      <c r="V135" s="3">
        <f t="shared" si="99"/>
        <v>36.90809984822261</v>
      </c>
      <c r="W135" s="4">
        <f t="shared" si="100"/>
        <v>21.30532934217425</v>
      </c>
      <c r="X135" s="5">
        <f t="shared" si="91"/>
        <v>216.9080998482226</v>
      </c>
      <c r="Y135" s="3">
        <f t="shared" si="101"/>
        <v>126.9080998482226</v>
      </c>
      <c r="Z135" s="6">
        <f t="shared" si="102"/>
        <v>68.69467065782575</v>
      </c>
      <c r="AA135" s="7">
        <f t="shared" si="103"/>
        <v>115.81668409905735</v>
      </c>
      <c r="AB135" s="8">
        <f t="shared" si="104"/>
        <v>115.81668409905735</v>
      </c>
      <c r="AC135" s="9">
        <f t="shared" si="105"/>
        <v>-0.4354932469553173</v>
      </c>
      <c r="AD135" s="9">
        <f t="shared" si="106"/>
        <v>0.3270738606468194</v>
      </c>
      <c r="AE135" s="9">
        <f t="shared" si="107"/>
        <v>0.8386705679454239</v>
      </c>
      <c r="AF135" s="10">
        <f t="shared" si="108"/>
        <v>269.99999999999994</v>
      </c>
      <c r="AG135" s="8">
        <f t="shared" si="109"/>
        <v>56.999999999999986</v>
      </c>
      <c r="AH135" s="9">
        <f t="shared" si="110"/>
        <v>-0.00011125201151611831</v>
      </c>
      <c r="AI135" s="11"/>
      <c r="AJ135" s="16"/>
      <c r="AK135" s="77"/>
      <c r="AL135" s="78"/>
      <c r="AM135" s="5"/>
      <c r="AN135" s="3"/>
      <c r="AO135" s="6"/>
      <c r="AP135" s="10"/>
      <c r="AQ135" s="7"/>
      <c r="AR135" s="10"/>
      <c r="AS135" s="17"/>
      <c r="AT135" s="18" t="s">
        <v>64</v>
      </c>
    </row>
    <row r="136" spans="1:45" ht="15">
      <c r="A136" s="11" t="s">
        <v>45</v>
      </c>
      <c r="B136" s="12" t="s">
        <v>46</v>
      </c>
      <c r="C136" s="13">
        <v>11</v>
      </c>
      <c r="D136" s="14">
        <v>5</v>
      </c>
      <c r="E136" s="15" t="s">
        <v>48</v>
      </c>
      <c r="F136" s="13"/>
      <c r="G136" s="16">
        <f>93.195+J136/100</f>
        <v>94.065</v>
      </c>
      <c r="H136" s="16">
        <f>93.195+K136/100</f>
        <v>94.065</v>
      </c>
      <c r="I136" s="1">
        <f t="shared" si="95"/>
        <v>94.065</v>
      </c>
      <c r="J136" s="51">
        <v>87</v>
      </c>
      <c r="K136" s="51">
        <v>87</v>
      </c>
      <c r="L136" s="14">
        <f t="shared" si="93"/>
        <v>87</v>
      </c>
      <c r="M136" s="52">
        <v>180</v>
      </c>
      <c r="N136" s="53">
        <v>0</v>
      </c>
      <c r="O136" s="53">
        <v>270</v>
      </c>
      <c r="P136" s="53">
        <v>3</v>
      </c>
      <c r="Q136" s="16"/>
      <c r="R136" s="54"/>
      <c r="S136" s="2">
        <f t="shared" si="96"/>
        <v>6.411931592720778E-18</v>
      </c>
      <c r="T136" s="2">
        <f t="shared" si="97"/>
        <v>0.05233595624294383</v>
      </c>
      <c r="U136" s="2">
        <f t="shared" si="98"/>
        <v>0.9986295347545738</v>
      </c>
      <c r="V136" s="3">
        <f t="shared" si="99"/>
        <v>90</v>
      </c>
      <c r="W136" s="4">
        <f t="shared" si="100"/>
        <v>86.99999999999996</v>
      </c>
      <c r="X136" s="5">
        <f t="shared" si="91"/>
        <v>270</v>
      </c>
      <c r="Y136" s="3">
        <f t="shared" si="101"/>
        <v>180</v>
      </c>
      <c r="Z136" s="6">
        <f t="shared" si="102"/>
        <v>3.0000000000000426</v>
      </c>
      <c r="AA136" s="7">
        <f t="shared" si="103"/>
        <v>90.00000000000001</v>
      </c>
      <c r="AB136" s="8">
        <f t="shared" si="104"/>
        <v>90.00000000000001</v>
      </c>
      <c r="AC136" s="9">
        <f t="shared" si="105"/>
        <v>-3.828317871046316E-16</v>
      </c>
      <c r="AD136" s="9">
        <f t="shared" si="106"/>
        <v>0.9986295347545738</v>
      </c>
      <c r="AE136" s="9">
        <f t="shared" si="107"/>
        <v>0.05233595624294457</v>
      </c>
      <c r="AF136" s="10">
        <f t="shared" si="108"/>
        <v>270</v>
      </c>
      <c r="AG136" s="8">
        <f t="shared" si="109"/>
        <v>3.000000000000042</v>
      </c>
      <c r="AH136" s="9">
        <f t="shared" si="110"/>
        <v>-6.1032734605398736E-21</v>
      </c>
      <c r="AI136" s="11"/>
      <c r="AJ136" s="16"/>
      <c r="AK136" s="77"/>
      <c r="AL136" s="78"/>
      <c r="AM136" s="5"/>
      <c r="AN136" s="3"/>
      <c r="AO136" s="6"/>
      <c r="AP136" s="10"/>
      <c r="AQ136" s="7"/>
      <c r="AR136" s="10"/>
      <c r="AS136" s="17"/>
    </row>
    <row r="137" spans="1:45" ht="15">
      <c r="A137" s="11" t="s">
        <v>45</v>
      </c>
      <c r="B137" s="12" t="s">
        <v>46</v>
      </c>
      <c r="C137" s="13">
        <v>11</v>
      </c>
      <c r="D137" s="14">
        <v>6</v>
      </c>
      <c r="E137" s="15" t="s">
        <v>48</v>
      </c>
      <c r="F137" s="13"/>
      <c r="G137" s="16">
        <f aca="true" t="shared" si="112" ref="G137:H139">94.505+J137/100</f>
        <v>94.645</v>
      </c>
      <c r="H137" s="16">
        <f t="shared" si="112"/>
        <v>94.645</v>
      </c>
      <c r="I137" s="1">
        <f t="shared" si="95"/>
        <v>94.645</v>
      </c>
      <c r="J137" s="51">
        <v>14</v>
      </c>
      <c r="K137" s="51">
        <v>14</v>
      </c>
      <c r="L137" s="14">
        <f t="shared" si="93"/>
        <v>14</v>
      </c>
      <c r="M137" s="52">
        <v>0</v>
      </c>
      <c r="N137" s="53">
        <v>0</v>
      </c>
      <c r="O137" s="53">
        <v>90</v>
      </c>
      <c r="P137" s="53">
        <v>8</v>
      </c>
      <c r="Q137" s="16"/>
      <c r="R137" s="54"/>
      <c r="S137" s="2">
        <f t="shared" si="96"/>
        <v>0</v>
      </c>
      <c r="T137" s="2">
        <f t="shared" si="97"/>
        <v>-0.13917310096006544</v>
      </c>
      <c r="U137" s="2">
        <f t="shared" si="98"/>
        <v>0.9902680687415704</v>
      </c>
      <c r="V137" s="3">
        <f t="shared" si="99"/>
        <v>270</v>
      </c>
      <c r="W137" s="4">
        <f t="shared" si="100"/>
        <v>82.00000000000003</v>
      </c>
      <c r="X137" s="5">
        <f t="shared" si="91"/>
        <v>90</v>
      </c>
      <c r="Y137" s="3">
        <f t="shared" si="101"/>
        <v>0</v>
      </c>
      <c r="Z137" s="6">
        <f t="shared" si="102"/>
        <v>7.999999999999972</v>
      </c>
      <c r="AA137" s="7">
        <f t="shared" si="103"/>
        <v>90</v>
      </c>
      <c r="AB137" s="8">
        <f t="shared" si="104"/>
        <v>90</v>
      </c>
      <c r="AC137" s="9">
        <f t="shared" si="105"/>
        <v>6.1257422745431E-17</v>
      </c>
      <c r="AD137" s="9">
        <f t="shared" si="106"/>
        <v>0.9902680687415704</v>
      </c>
      <c r="AE137" s="9">
        <f t="shared" si="107"/>
        <v>0.13917310096006494</v>
      </c>
      <c r="AF137" s="10">
        <f t="shared" si="108"/>
        <v>90</v>
      </c>
      <c r="AG137" s="8">
        <f t="shared" si="109"/>
        <v>7.999999999999972</v>
      </c>
      <c r="AH137" s="9">
        <f t="shared" si="110"/>
        <v>2.596978373921493E-21</v>
      </c>
      <c r="AI137" s="11"/>
      <c r="AJ137" s="16"/>
      <c r="AK137" s="77"/>
      <c r="AL137" s="78"/>
      <c r="AM137" s="5"/>
      <c r="AN137" s="3"/>
      <c r="AO137" s="6"/>
      <c r="AP137" s="10"/>
      <c r="AQ137" s="7"/>
      <c r="AR137" s="10"/>
      <c r="AS137" s="17"/>
    </row>
    <row r="138" spans="1:45" ht="15">
      <c r="A138" s="11" t="s">
        <v>45</v>
      </c>
      <c r="B138" s="12" t="s">
        <v>46</v>
      </c>
      <c r="C138" s="13">
        <v>11</v>
      </c>
      <c r="D138" s="14">
        <v>6</v>
      </c>
      <c r="E138" s="15" t="s">
        <v>48</v>
      </c>
      <c r="F138" s="13"/>
      <c r="G138" s="16">
        <f t="shared" si="112"/>
        <v>94.85499999999999</v>
      </c>
      <c r="H138" s="16">
        <f t="shared" si="112"/>
        <v>94.85499999999999</v>
      </c>
      <c r="I138" s="1">
        <f t="shared" si="95"/>
        <v>94.85499999999999</v>
      </c>
      <c r="J138" s="51">
        <v>35</v>
      </c>
      <c r="K138" s="51">
        <v>35</v>
      </c>
      <c r="L138" s="14">
        <f t="shared" si="93"/>
        <v>35</v>
      </c>
      <c r="M138" s="52">
        <v>0</v>
      </c>
      <c r="N138" s="53">
        <v>10</v>
      </c>
      <c r="O138" s="53">
        <v>270</v>
      </c>
      <c r="P138" s="53">
        <v>13</v>
      </c>
      <c r="Q138" s="16"/>
      <c r="R138" s="54"/>
      <c r="S138" s="2">
        <f t="shared" si="96"/>
        <v>0.16919758612316493</v>
      </c>
      <c r="T138" s="2">
        <f t="shared" si="97"/>
        <v>-0.2215335423661088</v>
      </c>
      <c r="U138" s="2">
        <f t="shared" si="98"/>
        <v>-0.9595671941035071</v>
      </c>
      <c r="V138" s="3">
        <f t="shared" si="99"/>
        <v>307.371001225419</v>
      </c>
      <c r="W138" s="4">
        <f t="shared" si="100"/>
        <v>-73.80132118109368</v>
      </c>
      <c r="X138" s="5">
        <f t="shared" si="91"/>
        <v>307.371001225419</v>
      </c>
      <c r="Y138" s="3">
        <f t="shared" si="101"/>
        <v>217.37100122541898</v>
      </c>
      <c r="Z138" s="6">
        <f t="shared" si="102"/>
        <v>16.198678818906316</v>
      </c>
      <c r="AA138" s="7">
        <f t="shared" si="103"/>
        <v>53.742373056145645</v>
      </c>
      <c r="AB138" s="8">
        <f t="shared" si="104"/>
        <v>53.742373056145645</v>
      </c>
      <c r="AC138" s="9">
        <f t="shared" si="105"/>
        <v>0.5914169932253709</v>
      </c>
      <c r="AD138" s="9">
        <f t="shared" si="106"/>
        <v>0.7743532548351851</v>
      </c>
      <c r="AE138" s="9">
        <f t="shared" si="107"/>
        <v>0.22495105434386475</v>
      </c>
      <c r="AF138" s="10">
        <f t="shared" si="108"/>
        <v>270</v>
      </c>
      <c r="AG138" s="8">
        <f t="shared" si="109"/>
        <v>12.999999999999986</v>
      </c>
      <c r="AH138" s="9">
        <f t="shared" si="110"/>
        <v>4.052544004120112E-05</v>
      </c>
      <c r="AI138" s="11"/>
      <c r="AJ138" s="16"/>
      <c r="AK138" s="77"/>
      <c r="AL138" s="78"/>
      <c r="AM138" s="5"/>
      <c r="AN138" s="3"/>
      <c r="AO138" s="6"/>
      <c r="AP138" s="10"/>
      <c r="AQ138" s="7"/>
      <c r="AR138" s="10"/>
      <c r="AS138" s="17"/>
    </row>
    <row r="139" spans="1:45" ht="15">
      <c r="A139" s="11" t="s">
        <v>45</v>
      </c>
      <c r="B139" s="12" t="s">
        <v>46</v>
      </c>
      <c r="C139" s="13">
        <v>11</v>
      </c>
      <c r="D139" s="14">
        <v>6</v>
      </c>
      <c r="E139" s="19" t="s">
        <v>47</v>
      </c>
      <c r="F139" s="13" t="s">
        <v>54</v>
      </c>
      <c r="G139" s="16">
        <f t="shared" si="112"/>
        <v>95.395</v>
      </c>
      <c r="H139" s="16">
        <f t="shared" si="112"/>
        <v>95.395</v>
      </c>
      <c r="I139" s="1">
        <f t="shared" si="95"/>
        <v>95.395</v>
      </c>
      <c r="J139" s="51">
        <v>89</v>
      </c>
      <c r="K139" s="51">
        <v>89</v>
      </c>
      <c r="L139" s="14">
        <f t="shared" si="93"/>
        <v>89</v>
      </c>
      <c r="M139" s="52">
        <v>0</v>
      </c>
      <c r="N139" s="53">
        <v>60</v>
      </c>
      <c r="O139" s="53">
        <v>90</v>
      </c>
      <c r="P139" s="53">
        <v>0</v>
      </c>
      <c r="Q139" s="16"/>
      <c r="R139" s="54"/>
      <c r="S139" s="2">
        <f t="shared" si="96"/>
        <v>-0.8660254037844386</v>
      </c>
      <c r="T139" s="2">
        <f t="shared" si="97"/>
        <v>5.305048426790594E-17</v>
      </c>
      <c r="U139" s="2">
        <f t="shared" si="98"/>
        <v>0.5000000000000001</v>
      </c>
      <c r="V139" s="3">
        <f t="shared" si="99"/>
        <v>180</v>
      </c>
      <c r="W139" s="4">
        <f t="shared" si="100"/>
        <v>30.00000000000001</v>
      </c>
      <c r="X139" s="5">
        <f t="shared" si="91"/>
        <v>0</v>
      </c>
      <c r="Y139" s="3">
        <f t="shared" si="101"/>
        <v>270</v>
      </c>
      <c r="Z139" s="6">
        <f t="shared" si="102"/>
        <v>59.999999999999986</v>
      </c>
      <c r="AA139" s="7">
        <f t="shared" si="103"/>
        <v>0</v>
      </c>
      <c r="AB139" s="8">
        <f t="shared" si="104"/>
        <v>0</v>
      </c>
      <c r="AC139" s="9">
        <f t="shared" si="105"/>
        <v>1</v>
      </c>
      <c r="AD139" s="9">
        <f t="shared" si="106"/>
        <v>0</v>
      </c>
      <c r="AE139" s="9">
        <f t="shared" si="107"/>
        <v>0</v>
      </c>
      <c r="AF139" s="10">
        <f t="shared" si="108"/>
        <v>270</v>
      </c>
      <c r="AG139" s="8">
        <f t="shared" si="109"/>
        <v>0</v>
      </c>
      <c r="AH139" s="9">
        <f t="shared" si="110"/>
        <v>0</v>
      </c>
      <c r="AI139" s="11"/>
      <c r="AJ139" s="16"/>
      <c r="AK139" s="77"/>
      <c r="AL139" s="78"/>
      <c r="AM139" s="5"/>
      <c r="AN139" s="3"/>
      <c r="AO139" s="6"/>
      <c r="AP139" s="10"/>
      <c r="AQ139" s="7"/>
      <c r="AR139" s="10"/>
      <c r="AS139" s="17"/>
    </row>
    <row r="140" spans="1:45" ht="15">
      <c r="A140" s="11" t="s">
        <v>45</v>
      </c>
      <c r="B140" s="12" t="s">
        <v>46</v>
      </c>
      <c r="C140" s="13">
        <v>11</v>
      </c>
      <c r="D140" s="14">
        <v>7</v>
      </c>
      <c r="E140" s="15" t="s">
        <v>48</v>
      </c>
      <c r="F140" s="13"/>
      <c r="G140" s="16">
        <f aca="true" t="shared" si="113" ref="G140:H143">95.91+J140/100</f>
        <v>96.55</v>
      </c>
      <c r="H140" s="16">
        <f t="shared" si="113"/>
        <v>96.55</v>
      </c>
      <c r="I140" s="1">
        <f t="shared" si="95"/>
        <v>96.55</v>
      </c>
      <c r="J140" s="51">
        <v>64</v>
      </c>
      <c r="K140" s="51">
        <v>64</v>
      </c>
      <c r="L140" s="14">
        <f t="shared" si="93"/>
        <v>64</v>
      </c>
      <c r="M140" s="52">
        <v>0</v>
      </c>
      <c r="N140" s="53">
        <v>12</v>
      </c>
      <c r="O140" s="53">
        <v>90</v>
      </c>
      <c r="P140" s="53">
        <v>6</v>
      </c>
      <c r="Q140" s="16"/>
      <c r="R140" s="54"/>
      <c r="S140" s="2">
        <f t="shared" si="96"/>
        <v>-0.2067727288213004</v>
      </c>
      <c r="T140" s="2">
        <f t="shared" si="97"/>
        <v>-0.10224426555364695</v>
      </c>
      <c r="U140" s="2">
        <f t="shared" si="98"/>
        <v>0.9727892058317135</v>
      </c>
      <c r="V140" s="3">
        <f t="shared" si="99"/>
        <v>206.31131592967515</v>
      </c>
      <c r="W140" s="4">
        <f t="shared" si="100"/>
        <v>76.66024474081817</v>
      </c>
      <c r="X140" s="5">
        <f t="shared" si="91"/>
        <v>26.311315929675146</v>
      </c>
      <c r="Y140" s="3">
        <f t="shared" si="101"/>
        <v>296.3113159296752</v>
      </c>
      <c r="Z140" s="6">
        <f t="shared" si="102"/>
        <v>13.339755259181828</v>
      </c>
      <c r="AA140" s="7">
        <f t="shared" si="103"/>
        <v>153.06087084256487</v>
      </c>
      <c r="AB140" s="8">
        <f t="shared" si="104"/>
        <v>153.06087084256487</v>
      </c>
      <c r="AC140" s="9">
        <f t="shared" si="105"/>
        <v>-0.8914883392371198</v>
      </c>
      <c r="AD140" s="9">
        <f t="shared" si="106"/>
        <v>0.44082007823050073</v>
      </c>
      <c r="AE140" s="9">
        <f t="shared" si="107"/>
        <v>0.1045284632676536</v>
      </c>
      <c r="AF140" s="10">
        <f t="shared" si="108"/>
        <v>90.00000000000003</v>
      </c>
      <c r="AG140" s="8">
        <f t="shared" si="109"/>
        <v>6.000000000000007</v>
      </c>
      <c r="AH140" s="9">
        <f t="shared" si="110"/>
        <v>-2.8384889197319872E-05</v>
      </c>
      <c r="AI140" s="11"/>
      <c r="AJ140" s="16"/>
      <c r="AK140" s="77"/>
      <c r="AL140" s="78"/>
      <c r="AM140" s="5"/>
      <c r="AN140" s="3"/>
      <c r="AO140" s="6"/>
      <c r="AP140" s="10"/>
      <c r="AQ140" s="7"/>
      <c r="AR140" s="10"/>
      <c r="AS140" s="17"/>
    </row>
    <row r="141" spans="1:46" ht="15">
      <c r="A141" s="11" t="s">
        <v>45</v>
      </c>
      <c r="B141" s="12" t="s">
        <v>46</v>
      </c>
      <c r="C141" s="13">
        <v>11</v>
      </c>
      <c r="D141" s="14">
        <v>7</v>
      </c>
      <c r="E141" s="15" t="s">
        <v>47</v>
      </c>
      <c r="F141" s="13" t="s">
        <v>54</v>
      </c>
      <c r="G141" s="16">
        <f t="shared" si="113"/>
        <v>96.53999999999999</v>
      </c>
      <c r="H141" s="16">
        <f t="shared" si="113"/>
        <v>96.64</v>
      </c>
      <c r="I141" s="1">
        <f t="shared" si="95"/>
        <v>96.59</v>
      </c>
      <c r="J141" s="51">
        <v>63</v>
      </c>
      <c r="K141" s="51">
        <v>73</v>
      </c>
      <c r="L141" s="14">
        <f t="shared" si="93"/>
        <v>68</v>
      </c>
      <c r="M141" s="52">
        <v>0</v>
      </c>
      <c r="N141" s="53">
        <v>65</v>
      </c>
      <c r="O141" s="53">
        <v>90</v>
      </c>
      <c r="P141" s="53">
        <v>54</v>
      </c>
      <c r="Q141" s="16"/>
      <c r="R141" s="54"/>
      <c r="S141" s="2">
        <f t="shared" si="96"/>
        <v>-0.5327143512579703</v>
      </c>
      <c r="T141" s="2">
        <f t="shared" si="97"/>
        <v>-0.34190535588142545</v>
      </c>
      <c r="U141" s="2">
        <f t="shared" si="98"/>
        <v>0.24840878160066346</v>
      </c>
      <c r="V141" s="3">
        <f t="shared" si="99"/>
        <v>212.69305490424816</v>
      </c>
      <c r="W141" s="4">
        <f t="shared" si="100"/>
        <v>21.426703465581976</v>
      </c>
      <c r="X141" s="5">
        <f t="shared" si="91"/>
        <v>32.69305490424816</v>
      </c>
      <c r="Y141" s="3">
        <f t="shared" si="101"/>
        <v>302.69305490424813</v>
      </c>
      <c r="Z141" s="6">
        <f t="shared" si="102"/>
        <v>68.57329653441802</v>
      </c>
      <c r="AA141" s="7">
        <f t="shared" si="103"/>
        <v>119.64773598233779</v>
      </c>
      <c r="AB141" s="8">
        <f t="shared" si="104"/>
        <v>119.64773598233779</v>
      </c>
      <c r="AC141" s="9">
        <f t="shared" si="105"/>
        <v>-0.49466611482397177</v>
      </c>
      <c r="AD141" s="9">
        <f t="shared" si="106"/>
        <v>0.31748533455497335</v>
      </c>
      <c r="AE141" s="9">
        <f t="shared" si="107"/>
        <v>0.8090169943749475</v>
      </c>
      <c r="AF141" s="10">
        <f t="shared" si="108"/>
        <v>89.99999999999994</v>
      </c>
      <c r="AG141" s="8">
        <f t="shared" si="109"/>
        <v>54.00000000000001</v>
      </c>
      <c r="AH141" s="9">
        <f t="shared" si="110"/>
        <v>-0.00012190028329374593</v>
      </c>
      <c r="AI141" s="11"/>
      <c r="AJ141" s="16"/>
      <c r="AK141" s="77"/>
      <c r="AL141" s="78"/>
      <c r="AM141" s="5"/>
      <c r="AN141" s="3"/>
      <c r="AO141" s="6"/>
      <c r="AP141" s="10"/>
      <c r="AQ141" s="7"/>
      <c r="AR141" s="10"/>
      <c r="AS141" s="17"/>
      <c r="AT141" s="18" t="s">
        <v>62</v>
      </c>
    </row>
    <row r="142" spans="1:45" ht="15">
      <c r="A142" s="11" t="s">
        <v>45</v>
      </c>
      <c r="B142" s="13" t="s">
        <v>46</v>
      </c>
      <c r="C142" s="13">
        <v>11</v>
      </c>
      <c r="D142" s="14">
        <v>7</v>
      </c>
      <c r="E142" s="15" t="s">
        <v>48</v>
      </c>
      <c r="F142" s="13"/>
      <c r="G142" s="16">
        <f t="shared" si="113"/>
        <v>96.77</v>
      </c>
      <c r="H142" s="16">
        <f t="shared" si="113"/>
        <v>96.77</v>
      </c>
      <c r="I142" s="1">
        <f t="shared" si="95"/>
        <v>96.77</v>
      </c>
      <c r="J142" s="51">
        <v>86</v>
      </c>
      <c r="K142" s="51">
        <v>86</v>
      </c>
      <c r="L142" s="14">
        <f t="shared" si="93"/>
        <v>86</v>
      </c>
      <c r="M142" s="52">
        <v>180</v>
      </c>
      <c r="N142" s="53">
        <v>16</v>
      </c>
      <c r="O142" s="53">
        <v>270</v>
      </c>
      <c r="P142" s="53">
        <v>0</v>
      </c>
      <c r="Q142" s="16"/>
      <c r="R142" s="54"/>
      <c r="S142" s="2">
        <f t="shared" si="96"/>
        <v>0.27563735581699916</v>
      </c>
      <c r="T142" s="2">
        <f t="shared" si="97"/>
        <v>-5.0654502089144105E-17</v>
      </c>
      <c r="U142" s="2">
        <f t="shared" si="98"/>
        <v>0.9612616959383189</v>
      </c>
      <c r="V142" s="3">
        <f t="shared" si="99"/>
        <v>360</v>
      </c>
      <c r="W142" s="4">
        <f t="shared" si="100"/>
        <v>74.00000000000001</v>
      </c>
      <c r="X142" s="5">
        <f t="shared" si="91"/>
        <v>180</v>
      </c>
      <c r="Y142" s="3">
        <f t="shared" si="101"/>
        <v>90</v>
      </c>
      <c r="Z142" s="6">
        <f t="shared" si="102"/>
        <v>15.999999999999986</v>
      </c>
      <c r="AA142" s="7">
        <f t="shared" si="103"/>
        <v>0</v>
      </c>
      <c r="AB142" s="8">
        <f t="shared" si="104"/>
        <v>0</v>
      </c>
      <c r="AC142" s="9">
        <f t="shared" si="105"/>
        <v>1</v>
      </c>
      <c r="AD142" s="9">
        <f t="shared" si="106"/>
        <v>0</v>
      </c>
      <c r="AE142" s="9">
        <f t="shared" si="107"/>
        <v>0</v>
      </c>
      <c r="AF142" s="10">
        <f t="shared" si="108"/>
        <v>90</v>
      </c>
      <c r="AG142" s="8">
        <f t="shared" si="109"/>
        <v>0</v>
      </c>
      <c r="AH142" s="9">
        <f t="shared" si="110"/>
        <v>0</v>
      </c>
      <c r="AI142" s="11"/>
      <c r="AJ142" s="16"/>
      <c r="AK142" s="77"/>
      <c r="AL142" s="78"/>
      <c r="AM142" s="5"/>
      <c r="AN142" s="3"/>
      <c r="AO142" s="6"/>
      <c r="AP142" s="10"/>
      <c r="AQ142" s="7"/>
      <c r="AR142" s="10"/>
      <c r="AS142" s="17"/>
    </row>
    <row r="143" spans="1:46" ht="15">
      <c r="A143" s="11" t="s">
        <v>45</v>
      </c>
      <c r="B143" s="12" t="s">
        <v>46</v>
      </c>
      <c r="C143" s="13">
        <v>11</v>
      </c>
      <c r="D143" s="14">
        <v>7</v>
      </c>
      <c r="E143" s="15" t="s">
        <v>48</v>
      </c>
      <c r="F143" s="13"/>
      <c r="G143" s="16">
        <f t="shared" si="113"/>
        <v>97.25999999999999</v>
      </c>
      <c r="H143" s="16">
        <f t="shared" si="113"/>
        <v>97.25999999999999</v>
      </c>
      <c r="I143" s="1">
        <f t="shared" si="95"/>
        <v>97.25999999999999</v>
      </c>
      <c r="J143" s="51">
        <v>135</v>
      </c>
      <c r="K143" s="51">
        <v>135</v>
      </c>
      <c r="L143" s="14">
        <f t="shared" si="93"/>
        <v>135</v>
      </c>
      <c r="M143" s="52">
        <v>0</v>
      </c>
      <c r="N143" s="53">
        <v>5</v>
      </c>
      <c r="O143" s="53">
        <v>270</v>
      </c>
      <c r="P143" s="53">
        <v>0</v>
      </c>
      <c r="Q143" s="16"/>
      <c r="R143" s="54"/>
      <c r="S143" s="2">
        <f t="shared" si="96"/>
        <v>0.08715574274765817</v>
      </c>
      <c r="T143" s="2">
        <f t="shared" si="97"/>
        <v>-1.6016808534555986E-17</v>
      </c>
      <c r="U143" s="2">
        <f t="shared" si="98"/>
        <v>-0.9961946980917455</v>
      </c>
      <c r="V143" s="3">
        <f t="shared" si="99"/>
        <v>360</v>
      </c>
      <c r="W143" s="4">
        <f t="shared" si="100"/>
        <v>-85</v>
      </c>
      <c r="X143" s="5">
        <f aca="true" t="shared" si="114" ref="X143:X174">IF(U143&lt;0,V143,IF(V143+180&gt;=360,V143-180,V143+180))</f>
        <v>360</v>
      </c>
      <c r="Y143" s="3">
        <f t="shared" si="101"/>
        <v>270</v>
      </c>
      <c r="Z143" s="6">
        <f t="shared" si="102"/>
        <v>5</v>
      </c>
      <c r="AA143" s="7">
        <f t="shared" si="103"/>
        <v>0</v>
      </c>
      <c r="AB143" s="8">
        <f t="shared" si="104"/>
        <v>0</v>
      </c>
      <c r="AC143" s="9">
        <f t="shared" si="105"/>
        <v>1</v>
      </c>
      <c r="AD143" s="9">
        <f t="shared" si="106"/>
        <v>0</v>
      </c>
      <c r="AE143" s="9">
        <f t="shared" si="107"/>
        <v>0</v>
      </c>
      <c r="AF143" s="10">
        <f t="shared" si="108"/>
        <v>270</v>
      </c>
      <c r="AG143" s="8">
        <f t="shared" si="109"/>
        <v>0</v>
      </c>
      <c r="AH143" s="9">
        <f t="shared" si="110"/>
        <v>0</v>
      </c>
      <c r="AI143" s="11"/>
      <c r="AJ143" s="16"/>
      <c r="AK143" s="77"/>
      <c r="AL143" s="78"/>
      <c r="AM143" s="5"/>
      <c r="AN143" s="3"/>
      <c r="AO143" s="6"/>
      <c r="AP143" s="10"/>
      <c r="AQ143" s="7"/>
      <c r="AR143" s="10"/>
      <c r="AS143" s="17"/>
      <c r="AT143" s="18" t="s">
        <v>61</v>
      </c>
    </row>
    <row r="144" spans="1:45" ht="15">
      <c r="A144" s="11" t="s">
        <v>45</v>
      </c>
      <c r="B144" s="12" t="s">
        <v>46</v>
      </c>
      <c r="C144" s="13">
        <v>11</v>
      </c>
      <c r="D144" s="14">
        <v>8</v>
      </c>
      <c r="E144" s="15" t="s">
        <v>48</v>
      </c>
      <c r="F144" s="13"/>
      <c r="G144" s="16">
        <f aca="true" t="shared" si="115" ref="G144:H146">97.315+J144/100</f>
        <v>97.515</v>
      </c>
      <c r="H144" s="16">
        <f t="shared" si="115"/>
        <v>97.515</v>
      </c>
      <c r="I144" s="1">
        <f t="shared" si="95"/>
        <v>97.515</v>
      </c>
      <c r="J144" s="51">
        <v>20</v>
      </c>
      <c r="K144" s="51">
        <v>20</v>
      </c>
      <c r="L144" s="14">
        <f t="shared" si="93"/>
        <v>20</v>
      </c>
      <c r="M144" s="52">
        <v>0</v>
      </c>
      <c r="N144" s="53">
        <v>0</v>
      </c>
      <c r="O144" s="53">
        <v>90</v>
      </c>
      <c r="P144" s="53">
        <v>0</v>
      </c>
      <c r="Q144" s="16"/>
      <c r="R144" s="54"/>
      <c r="S144" s="2">
        <f t="shared" si="96"/>
        <v>0</v>
      </c>
      <c r="T144" s="2">
        <f t="shared" si="97"/>
        <v>0</v>
      </c>
      <c r="U144" s="2">
        <f t="shared" si="98"/>
        <v>1</v>
      </c>
      <c r="V144" s="3">
        <f t="shared" si="99"/>
        <v>90</v>
      </c>
      <c r="W144" s="4">
        <f t="shared" si="100"/>
        <v>90</v>
      </c>
      <c r="X144" s="5">
        <f t="shared" si="114"/>
        <v>270</v>
      </c>
      <c r="Y144" s="3">
        <f t="shared" si="101"/>
        <v>180</v>
      </c>
      <c r="Z144" s="6">
        <f t="shared" si="102"/>
        <v>0</v>
      </c>
      <c r="AA144" s="7">
        <f t="shared" si="103"/>
        <v>89.99999999999999</v>
      </c>
      <c r="AB144" s="8">
        <f t="shared" si="104"/>
        <v>89.99999999999999</v>
      </c>
      <c r="AC144" s="9">
        <f t="shared" si="105"/>
        <v>2.833020276704623E-16</v>
      </c>
      <c r="AD144" s="9">
        <f t="shared" si="106"/>
        <v>1</v>
      </c>
      <c r="AE144" s="9">
        <f t="shared" si="107"/>
        <v>0</v>
      </c>
      <c r="AF144" s="10">
        <f t="shared" si="108"/>
        <v>270</v>
      </c>
      <c r="AG144" s="8">
        <f t="shared" si="109"/>
        <v>0</v>
      </c>
      <c r="AH144" s="9">
        <f t="shared" si="110"/>
        <v>0</v>
      </c>
      <c r="AI144" s="11"/>
      <c r="AJ144" s="16"/>
      <c r="AK144" s="77"/>
      <c r="AL144" s="78"/>
      <c r="AM144" s="5"/>
      <c r="AN144" s="3"/>
      <c r="AO144" s="6"/>
      <c r="AP144" s="10"/>
      <c r="AQ144" s="7"/>
      <c r="AR144" s="10"/>
      <c r="AS144" s="17"/>
    </row>
    <row r="145" spans="1:46" ht="15">
      <c r="A145" s="11" t="s">
        <v>45</v>
      </c>
      <c r="B145" s="12" t="s">
        <v>46</v>
      </c>
      <c r="C145" s="13">
        <v>11</v>
      </c>
      <c r="D145" s="14">
        <v>8</v>
      </c>
      <c r="E145" s="15" t="s">
        <v>47</v>
      </c>
      <c r="F145" s="12" t="s">
        <v>54</v>
      </c>
      <c r="G145" s="16">
        <f t="shared" si="115"/>
        <v>97.55499999999999</v>
      </c>
      <c r="H145" s="16">
        <f t="shared" si="115"/>
        <v>97.705</v>
      </c>
      <c r="I145" s="1">
        <f t="shared" si="95"/>
        <v>97.63</v>
      </c>
      <c r="J145" s="51">
        <v>24</v>
      </c>
      <c r="K145" s="51">
        <v>39</v>
      </c>
      <c r="L145" s="14">
        <f t="shared" si="93"/>
        <v>31.5</v>
      </c>
      <c r="M145" s="52">
        <v>180</v>
      </c>
      <c r="N145" s="53">
        <v>66</v>
      </c>
      <c r="O145" s="53"/>
      <c r="P145" s="53"/>
      <c r="Q145" s="16"/>
      <c r="R145" s="54"/>
      <c r="S145" s="2">
        <f t="shared" si="96"/>
        <v>0</v>
      </c>
      <c r="T145" s="2">
        <f t="shared" si="97"/>
        <v>0.9135454576426009</v>
      </c>
      <c r="U145" s="2">
        <f t="shared" si="98"/>
        <v>-4.983127698190355E-17</v>
      </c>
      <c r="V145" s="3">
        <f t="shared" si="99"/>
        <v>90</v>
      </c>
      <c r="W145" s="4">
        <f t="shared" si="100"/>
        <v>-3.1253199662095708E-15</v>
      </c>
      <c r="X145" s="5">
        <f t="shared" si="114"/>
        <v>90</v>
      </c>
      <c r="Y145" s="3">
        <f t="shared" si="101"/>
        <v>0</v>
      </c>
      <c r="Z145" s="6">
        <f t="shared" si="102"/>
        <v>90</v>
      </c>
      <c r="AA145" s="7">
        <f t="shared" si="103"/>
        <v>90</v>
      </c>
      <c r="AB145" s="8">
        <f t="shared" si="104"/>
        <v>90</v>
      </c>
      <c r="AC145" s="9">
        <f t="shared" si="105"/>
        <v>6.1257422745431E-17</v>
      </c>
      <c r="AD145" s="9">
        <f t="shared" si="106"/>
        <v>6.1257422745431E-17</v>
      </c>
      <c r="AE145" s="9">
        <f t="shared" si="107"/>
        <v>1</v>
      </c>
      <c r="AF145" s="10">
        <f t="shared" si="108"/>
        <v>45</v>
      </c>
      <c r="AG145" s="8">
        <f t="shared" si="109"/>
        <v>90</v>
      </c>
      <c r="AH145" s="9">
        <f t="shared" si="110"/>
        <v>1.8659130709787315E-20</v>
      </c>
      <c r="AI145" s="11"/>
      <c r="AJ145" s="16"/>
      <c r="AK145" s="77"/>
      <c r="AL145" s="78"/>
      <c r="AM145" s="5"/>
      <c r="AN145" s="3"/>
      <c r="AO145" s="6"/>
      <c r="AP145" s="10"/>
      <c r="AQ145" s="7"/>
      <c r="AR145" s="10"/>
      <c r="AS145" s="17"/>
      <c r="AT145" s="18" t="s">
        <v>60</v>
      </c>
    </row>
    <row r="146" spans="1:45" ht="15">
      <c r="A146" s="11" t="s">
        <v>45</v>
      </c>
      <c r="B146" s="12" t="s">
        <v>46</v>
      </c>
      <c r="C146" s="13">
        <v>11</v>
      </c>
      <c r="D146" s="14">
        <v>8</v>
      </c>
      <c r="E146" s="15" t="s">
        <v>48</v>
      </c>
      <c r="F146" s="13"/>
      <c r="G146" s="16">
        <f t="shared" si="115"/>
        <v>97.825</v>
      </c>
      <c r="H146" s="16">
        <f t="shared" si="115"/>
        <v>97.825</v>
      </c>
      <c r="I146" s="1">
        <f t="shared" si="95"/>
        <v>97.825</v>
      </c>
      <c r="J146" s="51">
        <v>51</v>
      </c>
      <c r="K146" s="51">
        <v>51</v>
      </c>
      <c r="L146" s="14">
        <f t="shared" si="93"/>
        <v>51</v>
      </c>
      <c r="M146" s="52">
        <v>0</v>
      </c>
      <c r="N146" s="53">
        <v>0</v>
      </c>
      <c r="O146" s="53">
        <v>90</v>
      </c>
      <c r="P146" s="53">
        <v>0</v>
      </c>
      <c r="Q146" s="16"/>
      <c r="R146" s="54"/>
      <c r="S146" s="2">
        <f t="shared" si="96"/>
        <v>0</v>
      </c>
      <c r="T146" s="2">
        <f t="shared" si="97"/>
        <v>0</v>
      </c>
      <c r="U146" s="2">
        <f t="shared" si="98"/>
        <v>1</v>
      </c>
      <c r="V146" s="3">
        <f t="shared" si="99"/>
        <v>90</v>
      </c>
      <c r="W146" s="4">
        <f t="shared" si="100"/>
        <v>90</v>
      </c>
      <c r="X146" s="5">
        <f t="shared" si="114"/>
        <v>270</v>
      </c>
      <c r="Y146" s="3">
        <f t="shared" si="101"/>
        <v>180</v>
      </c>
      <c r="Z146" s="6">
        <f t="shared" si="102"/>
        <v>0</v>
      </c>
      <c r="AA146" s="7">
        <f t="shared" si="103"/>
        <v>89.99999999999999</v>
      </c>
      <c r="AB146" s="8">
        <f t="shared" si="104"/>
        <v>89.99999999999999</v>
      </c>
      <c r="AC146" s="9">
        <f t="shared" si="105"/>
        <v>2.833020276704623E-16</v>
      </c>
      <c r="AD146" s="9">
        <f t="shared" si="106"/>
        <v>1</v>
      </c>
      <c r="AE146" s="9">
        <f t="shared" si="107"/>
        <v>0</v>
      </c>
      <c r="AF146" s="10">
        <f t="shared" si="108"/>
        <v>270</v>
      </c>
      <c r="AG146" s="8">
        <f t="shared" si="109"/>
        <v>0</v>
      </c>
      <c r="AH146" s="9">
        <f t="shared" si="110"/>
        <v>0</v>
      </c>
      <c r="AI146" s="11"/>
      <c r="AJ146" s="16"/>
      <c r="AK146" s="77"/>
      <c r="AL146" s="78"/>
      <c r="AM146" s="5"/>
      <c r="AN146" s="3"/>
      <c r="AO146" s="6"/>
      <c r="AP146" s="10"/>
      <c r="AQ146" s="7"/>
      <c r="AR146" s="10"/>
      <c r="AS146" s="17"/>
    </row>
    <row r="147" spans="1:45" ht="15">
      <c r="A147" s="11" t="s">
        <v>45</v>
      </c>
      <c r="B147" s="12" t="s">
        <v>46</v>
      </c>
      <c r="C147" s="13">
        <v>12</v>
      </c>
      <c r="D147" s="14">
        <v>1</v>
      </c>
      <c r="E147" s="15" t="s">
        <v>48</v>
      </c>
      <c r="F147" s="13"/>
      <c r="G147" s="16">
        <f aca="true" t="shared" si="116" ref="G147:H150">99.5+J147/100</f>
        <v>99.88</v>
      </c>
      <c r="H147" s="16">
        <f t="shared" si="116"/>
        <v>99.88</v>
      </c>
      <c r="I147" s="1">
        <f t="shared" si="95"/>
        <v>99.88</v>
      </c>
      <c r="J147" s="51">
        <v>38</v>
      </c>
      <c r="K147" s="51">
        <v>38</v>
      </c>
      <c r="L147" s="14">
        <f t="shared" si="93"/>
        <v>38</v>
      </c>
      <c r="M147" s="52">
        <v>0</v>
      </c>
      <c r="N147" s="53">
        <v>0</v>
      </c>
      <c r="O147" s="53">
        <v>90</v>
      </c>
      <c r="P147" s="53">
        <v>0</v>
      </c>
      <c r="Q147" s="16"/>
      <c r="R147" s="54"/>
      <c r="S147" s="2">
        <f t="shared" si="96"/>
        <v>0</v>
      </c>
      <c r="T147" s="2">
        <f t="shared" si="97"/>
        <v>0</v>
      </c>
      <c r="U147" s="2">
        <f t="shared" si="98"/>
        <v>1</v>
      </c>
      <c r="V147" s="3">
        <f t="shared" si="99"/>
        <v>90</v>
      </c>
      <c r="W147" s="4">
        <f t="shared" si="100"/>
        <v>90</v>
      </c>
      <c r="X147" s="5">
        <f t="shared" si="114"/>
        <v>270</v>
      </c>
      <c r="Y147" s="3">
        <f t="shared" si="101"/>
        <v>180</v>
      </c>
      <c r="Z147" s="6">
        <f t="shared" si="102"/>
        <v>0</v>
      </c>
      <c r="AA147" s="7">
        <f t="shared" si="103"/>
        <v>89.99999999999999</v>
      </c>
      <c r="AB147" s="8">
        <f t="shared" si="104"/>
        <v>89.99999999999999</v>
      </c>
      <c r="AC147" s="9">
        <f t="shared" si="105"/>
        <v>2.833020276704623E-16</v>
      </c>
      <c r="AD147" s="9">
        <f t="shared" si="106"/>
        <v>1</v>
      </c>
      <c r="AE147" s="9">
        <f t="shared" si="107"/>
        <v>0</v>
      </c>
      <c r="AF147" s="10">
        <f t="shared" si="108"/>
        <v>270</v>
      </c>
      <c r="AG147" s="8">
        <f t="shared" si="109"/>
        <v>0</v>
      </c>
      <c r="AH147" s="9">
        <f t="shared" si="110"/>
        <v>0</v>
      </c>
      <c r="AI147" s="11"/>
      <c r="AJ147" s="16"/>
      <c r="AK147" s="77"/>
      <c r="AL147" s="78"/>
      <c r="AM147" s="5"/>
      <c r="AN147" s="3"/>
      <c r="AO147" s="6"/>
      <c r="AP147" s="10"/>
      <c r="AQ147" s="7"/>
      <c r="AR147" s="10"/>
      <c r="AS147" s="17"/>
    </row>
    <row r="148" spans="1:45" ht="15">
      <c r="A148" s="11" t="s">
        <v>45</v>
      </c>
      <c r="B148" s="12" t="s">
        <v>46</v>
      </c>
      <c r="C148" s="13">
        <v>12</v>
      </c>
      <c r="D148" s="14">
        <v>1</v>
      </c>
      <c r="E148" s="15" t="s">
        <v>48</v>
      </c>
      <c r="F148" s="13"/>
      <c r="G148" s="16">
        <f t="shared" si="116"/>
        <v>100.06</v>
      </c>
      <c r="H148" s="16">
        <f t="shared" si="116"/>
        <v>100.06</v>
      </c>
      <c r="I148" s="1">
        <f t="shared" si="95"/>
        <v>100.06</v>
      </c>
      <c r="J148" s="51">
        <v>56</v>
      </c>
      <c r="K148" s="51">
        <v>56</v>
      </c>
      <c r="L148" s="14">
        <f t="shared" si="93"/>
        <v>56</v>
      </c>
      <c r="M148" s="52">
        <v>0</v>
      </c>
      <c r="N148" s="53">
        <v>0</v>
      </c>
      <c r="O148" s="53">
        <v>90</v>
      </c>
      <c r="P148" s="53">
        <v>0</v>
      </c>
      <c r="Q148" s="16"/>
      <c r="R148" s="54"/>
      <c r="S148" s="2">
        <f t="shared" si="96"/>
        <v>0</v>
      </c>
      <c r="T148" s="2">
        <f t="shared" si="97"/>
        <v>0</v>
      </c>
      <c r="U148" s="2">
        <f t="shared" si="98"/>
        <v>1</v>
      </c>
      <c r="V148" s="3">
        <f t="shared" si="99"/>
        <v>90</v>
      </c>
      <c r="W148" s="4">
        <f t="shared" si="100"/>
        <v>90</v>
      </c>
      <c r="X148" s="5">
        <f t="shared" si="114"/>
        <v>270</v>
      </c>
      <c r="Y148" s="3">
        <f t="shared" si="101"/>
        <v>180</v>
      </c>
      <c r="Z148" s="6">
        <f t="shared" si="102"/>
        <v>0</v>
      </c>
      <c r="AA148" s="7">
        <f t="shared" si="103"/>
        <v>89.99999999999999</v>
      </c>
      <c r="AB148" s="8">
        <f t="shared" si="104"/>
        <v>89.99999999999999</v>
      </c>
      <c r="AC148" s="9">
        <f t="shared" si="105"/>
        <v>2.833020276704623E-16</v>
      </c>
      <c r="AD148" s="9">
        <f t="shared" si="106"/>
        <v>1</v>
      </c>
      <c r="AE148" s="9">
        <f t="shared" si="107"/>
        <v>0</v>
      </c>
      <c r="AF148" s="10">
        <f t="shared" si="108"/>
        <v>270</v>
      </c>
      <c r="AG148" s="8">
        <f t="shared" si="109"/>
        <v>0</v>
      </c>
      <c r="AH148" s="9">
        <f t="shared" si="110"/>
        <v>0</v>
      </c>
      <c r="AI148" s="11"/>
      <c r="AJ148" s="16"/>
      <c r="AK148" s="77"/>
      <c r="AL148" s="78"/>
      <c r="AM148" s="5"/>
      <c r="AN148" s="3"/>
      <c r="AO148" s="6"/>
      <c r="AP148" s="10"/>
      <c r="AQ148" s="7"/>
      <c r="AR148" s="10"/>
      <c r="AS148" s="17"/>
    </row>
    <row r="149" spans="1:45" ht="15">
      <c r="A149" s="11" t="s">
        <v>45</v>
      </c>
      <c r="B149" s="12" t="s">
        <v>46</v>
      </c>
      <c r="C149" s="13">
        <v>12</v>
      </c>
      <c r="D149" s="14">
        <v>1</v>
      </c>
      <c r="E149" s="15" t="s">
        <v>48</v>
      </c>
      <c r="F149" s="13"/>
      <c r="G149" s="16">
        <f t="shared" si="116"/>
        <v>100.475</v>
      </c>
      <c r="H149" s="16">
        <f t="shared" si="116"/>
        <v>100.475</v>
      </c>
      <c r="I149" s="1">
        <f t="shared" si="95"/>
        <v>100.475</v>
      </c>
      <c r="J149" s="51">
        <v>97.5</v>
      </c>
      <c r="K149" s="51">
        <v>97.5</v>
      </c>
      <c r="L149" s="14">
        <f t="shared" si="93"/>
        <v>97.5</v>
      </c>
      <c r="M149" s="52">
        <v>0</v>
      </c>
      <c r="N149" s="53">
        <v>0</v>
      </c>
      <c r="O149" s="53">
        <v>90</v>
      </c>
      <c r="P149" s="53">
        <v>0</v>
      </c>
      <c r="Q149" s="16"/>
      <c r="R149" s="54"/>
      <c r="S149" s="2">
        <f t="shared" si="96"/>
        <v>0</v>
      </c>
      <c r="T149" s="2">
        <f t="shared" si="97"/>
        <v>0</v>
      </c>
      <c r="U149" s="2">
        <f t="shared" si="98"/>
        <v>1</v>
      </c>
      <c r="V149" s="3">
        <f t="shared" si="99"/>
        <v>90</v>
      </c>
      <c r="W149" s="4">
        <f t="shared" si="100"/>
        <v>90</v>
      </c>
      <c r="X149" s="5">
        <f t="shared" si="114"/>
        <v>270</v>
      </c>
      <c r="Y149" s="3">
        <f t="shared" si="101"/>
        <v>180</v>
      </c>
      <c r="Z149" s="6">
        <f t="shared" si="102"/>
        <v>0</v>
      </c>
      <c r="AA149" s="7">
        <f t="shared" si="103"/>
        <v>89.99999999999999</v>
      </c>
      <c r="AB149" s="8">
        <f t="shared" si="104"/>
        <v>89.99999999999999</v>
      </c>
      <c r="AC149" s="9">
        <f t="shared" si="105"/>
        <v>2.833020276704623E-16</v>
      </c>
      <c r="AD149" s="9">
        <f t="shared" si="106"/>
        <v>1</v>
      </c>
      <c r="AE149" s="9">
        <f t="shared" si="107"/>
        <v>0</v>
      </c>
      <c r="AF149" s="10">
        <f t="shared" si="108"/>
        <v>270</v>
      </c>
      <c r="AG149" s="8">
        <f t="shared" si="109"/>
        <v>0</v>
      </c>
      <c r="AH149" s="9">
        <f t="shared" si="110"/>
        <v>0</v>
      </c>
      <c r="AI149" s="11"/>
      <c r="AJ149" s="16"/>
      <c r="AK149" s="77"/>
      <c r="AL149" s="78"/>
      <c r="AM149" s="5"/>
      <c r="AN149" s="3"/>
      <c r="AO149" s="6"/>
      <c r="AP149" s="10"/>
      <c r="AQ149" s="7"/>
      <c r="AR149" s="10"/>
      <c r="AS149" s="17"/>
    </row>
    <row r="150" spans="1:45" ht="15">
      <c r="A150" s="11" t="s">
        <v>45</v>
      </c>
      <c r="B150" s="12" t="s">
        <v>46</v>
      </c>
      <c r="C150" s="13">
        <v>12</v>
      </c>
      <c r="D150" s="14">
        <v>1</v>
      </c>
      <c r="E150" s="15" t="s">
        <v>48</v>
      </c>
      <c r="F150" s="13"/>
      <c r="G150" s="16">
        <f t="shared" si="116"/>
        <v>100.69</v>
      </c>
      <c r="H150" s="16">
        <f t="shared" si="116"/>
        <v>100.69</v>
      </c>
      <c r="I150" s="1">
        <f t="shared" si="95"/>
        <v>100.69</v>
      </c>
      <c r="J150" s="51">
        <v>119</v>
      </c>
      <c r="K150" s="51">
        <v>119</v>
      </c>
      <c r="L150" s="14">
        <f t="shared" si="93"/>
        <v>119</v>
      </c>
      <c r="M150" s="52">
        <v>0</v>
      </c>
      <c r="N150" s="53">
        <v>0</v>
      </c>
      <c r="O150" s="53">
        <v>90</v>
      </c>
      <c r="P150" s="53">
        <v>0</v>
      </c>
      <c r="Q150" s="16"/>
      <c r="R150" s="54"/>
      <c r="S150" s="2">
        <f t="shared" si="96"/>
        <v>0</v>
      </c>
      <c r="T150" s="2">
        <f t="shared" si="97"/>
        <v>0</v>
      </c>
      <c r="U150" s="2">
        <f t="shared" si="98"/>
        <v>1</v>
      </c>
      <c r="V150" s="3">
        <f t="shared" si="99"/>
        <v>90</v>
      </c>
      <c r="W150" s="4">
        <f t="shared" si="100"/>
        <v>90</v>
      </c>
      <c r="X150" s="5">
        <f t="shared" si="114"/>
        <v>270</v>
      </c>
      <c r="Y150" s="3">
        <f t="shared" si="101"/>
        <v>180</v>
      </c>
      <c r="Z150" s="6">
        <f t="shared" si="102"/>
        <v>0</v>
      </c>
      <c r="AA150" s="7">
        <f t="shared" si="103"/>
        <v>89.99999999999999</v>
      </c>
      <c r="AB150" s="8">
        <f t="shared" si="104"/>
        <v>89.99999999999999</v>
      </c>
      <c r="AC150" s="9">
        <f t="shared" si="105"/>
        <v>2.833020276704623E-16</v>
      </c>
      <c r="AD150" s="9">
        <f t="shared" si="106"/>
        <v>1</v>
      </c>
      <c r="AE150" s="9">
        <f t="shared" si="107"/>
        <v>0</v>
      </c>
      <c r="AF150" s="10">
        <f t="shared" si="108"/>
        <v>270</v>
      </c>
      <c r="AG150" s="8">
        <f t="shared" si="109"/>
        <v>0</v>
      </c>
      <c r="AH150" s="9">
        <f t="shared" si="110"/>
        <v>0</v>
      </c>
      <c r="AI150" s="11"/>
      <c r="AJ150" s="16"/>
      <c r="AK150" s="77"/>
      <c r="AL150" s="78"/>
      <c r="AM150" s="5"/>
      <c r="AN150" s="3"/>
      <c r="AO150" s="6"/>
      <c r="AP150" s="10"/>
      <c r="AQ150" s="7"/>
      <c r="AR150" s="10"/>
      <c r="AS150" s="17"/>
    </row>
    <row r="151" spans="1:45" ht="15">
      <c r="A151" s="11" t="s">
        <v>45</v>
      </c>
      <c r="B151" s="12" t="s">
        <v>46</v>
      </c>
      <c r="C151" s="13">
        <v>12</v>
      </c>
      <c r="D151" s="14">
        <v>2</v>
      </c>
      <c r="E151" s="15" t="s">
        <v>48</v>
      </c>
      <c r="F151" s="13"/>
      <c r="G151" s="16">
        <f aca="true" t="shared" si="117" ref="G151:H153">100.9+J151/100</f>
        <v>101.06</v>
      </c>
      <c r="H151" s="16">
        <f t="shared" si="117"/>
        <v>101.06</v>
      </c>
      <c r="I151" s="1">
        <f t="shared" si="95"/>
        <v>101.06</v>
      </c>
      <c r="J151" s="51">
        <v>16</v>
      </c>
      <c r="K151" s="51">
        <v>16</v>
      </c>
      <c r="L151" s="14">
        <f t="shared" si="93"/>
        <v>16</v>
      </c>
      <c r="M151" s="52">
        <v>0</v>
      </c>
      <c r="N151" s="53">
        <v>0</v>
      </c>
      <c r="O151" s="53">
        <v>90</v>
      </c>
      <c r="P151" s="53">
        <v>0</v>
      </c>
      <c r="Q151" s="16"/>
      <c r="R151" s="54"/>
      <c r="S151" s="2">
        <f t="shared" si="96"/>
        <v>0</v>
      </c>
      <c r="T151" s="2">
        <f t="shared" si="97"/>
        <v>0</v>
      </c>
      <c r="U151" s="2">
        <f t="shared" si="98"/>
        <v>1</v>
      </c>
      <c r="V151" s="3">
        <f t="shared" si="99"/>
        <v>90</v>
      </c>
      <c r="W151" s="4">
        <f t="shared" si="100"/>
        <v>90</v>
      </c>
      <c r="X151" s="5">
        <f t="shared" si="114"/>
        <v>270</v>
      </c>
      <c r="Y151" s="3">
        <f t="shared" si="101"/>
        <v>180</v>
      </c>
      <c r="Z151" s="6">
        <f t="shared" si="102"/>
        <v>0</v>
      </c>
      <c r="AA151" s="7">
        <f t="shared" si="103"/>
        <v>89.99999999999999</v>
      </c>
      <c r="AB151" s="8">
        <f t="shared" si="104"/>
        <v>89.99999999999999</v>
      </c>
      <c r="AC151" s="9">
        <f t="shared" si="105"/>
        <v>2.833020276704623E-16</v>
      </c>
      <c r="AD151" s="9">
        <f t="shared" si="106"/>
        <v>1</v>
      </c>
      <c r="AE151" s="9">
        <f t="shared" si="107"/>
        <v>0</v>
      </c>
      <c r="AF151" s="10">
        <f t="shared" si="108"/>
        <v>270</v>
      </c>
      <c r="AG151" s="8">
        <f t="shared" si="109"/>
        <v>0</v>
      </c>
      <c r="AH151" s="9">
        <f t="shared" si="110"/>
        <v>0</v>
      </c>
      <c r="AI151" s="11"/>
      <c r="AJ151" s="16"/>
      <c r="AK151" s="77"/>
      <c r="AL151" s="78"/>
      <c r="AM151" s="5"/>
      <c r="AN151" s="3"/>
      <c r="AO151" s="6"/>
      <c r="AP151" s="10"/>
      <c r="AQ151" s="7"/>
      <c r="AR151" s="10"/>
      <c r="AS151" s="17"/>
    </row>
    <row r="152" spans="1:45" ht="15">
      <c r="A152" s="11" t="s">
        <v>45</v>
      </c>
      <c r="B152" s="12" t="s">
        <v>46</v>
      </c>
      <c r="C152" s="13">
        <v>12</v>
      </c>
      <c r="D152" s="14">
        <v>2</v>
      </c>
      <c r="E152" s="15" t="s">
        <v>48</v>
      </c>
      <c r="F152" s="13"/>
      <c r="G152" s="16">
        <f t="shared" si="117"/>
        <v>101.22</v>
      </c>
      <c r="H152" s="16">
        <f t="shared" si="117"/>
        <v>101.22</v>
      </c>
      <c r="I152" s="1">
        <f t="shared" si="95"/>
        <v>101.22</v>
      </c>
      <c r="J152" s="51">
        <v>32</v>
      </c>
      <c r="K152" s="51">
        <v>32</v>
      </c>
      <c r="L152" s="14">
        <f t="shared" si="93"/>
        <v>32</v>
      </c>
      <c r="M152" s="52">
        <v>180</v>
      </c>
      <c r="N152" s="53">
        <v>16</v>
      </c>
      <c r="O152" s="53">
        <v>270</v>
      </c>
      <c r="P152" s="53">
        <v>17</v>
      </c>
      <c r="Q152" s="16"/>
      <c r="R152" s="54"/>
      <c r="S152" s="2">
        <f t="shared" si="96"/>
        <v>0.2635933142888718</v>
      </c>
      <c r="T152" s="2">
        <f t="shared" si="97"/>
        <v>0.2810457207261553</v>
      </c>
      <c r="U152" s="2">
        <f t="shared" si="98"/>
        <v>0.9192591315509077</v>
      </c>
      <c r="V152" s="3">
        <f t="shared" si="99"/>
        <v>46.83535722311814</v>
      </c>
      <c r="W152" s="4">
        <f t="shared" si="100"/>
        <v>67.25857280745855</v>
      </c>
      <c r="X152" s="5">
        <f t="shared" si="114"/>
        <v>226.83535722311814</v>
      </c>
      <c r="Y152" s="3">
        <f t="shared" si="101"/>
        <v>136.83535722311814</v>
      </c>
      <c r="Z152" s="6">
        <f t="shared" si="102"/>
        <v>22.74142719254145</v>
      </c>
      <c r="AA152" s="7">
        <f t="shared" si="103"/>
        <v>130.85942191391356</v>
      </c>
      <c r="AB152" s="8">
        <f t="shared" si="104"/>
        <v>130.85942191391356</v>
      </c>
      <c r="AC152" s="9">
        <f t="shared" si="105"/>
        <v>-0.6542053381047694</v>
      </c>
      <c r="AD152" s="9">
        <f t="shared" si="106"/>
        <v>0.6975200082239541</v>
      </c>
      <c r="AE152" s="9">
        <f t="shared" si="107"/>
        <v>0.29237170472273694</v>
      </c>
      <c r="AF152" s="10">
        <f t="shared" si="108"/>
        <v>270</v>
      </c>
      <c r="AG152" s="8">
        <f t="shared" si="109"/>
        <v>17.000000000000014</v>
      </c>
      <c r="AH152" s="9">
        <f t="shared" si="110"/>
        <v>-5.826299923112899E-05</v>
      </c>
      <c r="AI152" s="11"/>
      <c r="AJ152" s="16"/>
      <c r="AK152" s="77"/>
      <c r="AL152" s="78"/>
      <c r="AM152" s="5"/>
      <c r="AN152" s="3"/>
      <c r="AO152" s="6"/>
      <c r="AP152" s="10"/>
      <c r="AQ152" s="7"/>
      <c r="AR152" s="10"/>
      <c r="AS152" s="17"/>
    </row>
    <row r="153" spans="1:45" ht="15">
      <c r="A153" s="11" t="s">
        <v>45</v>
      </c>
      <c r="B153" s="12" t="s">
        <v>46</v>
      </c>
      <c r="C153" s="13">
        <v>12</v>
      </c>
      <c r="D153" s="14">
        <v>2</v>
      </c>
      <c r="E153" s="15" t="s">
        <v>48</v>
      </c>
      <c r="F153" s="13"/>
      <c r="G153" s="16">
        <f t="shared" si="117"/>
        <v>101.46000000000001</v>
      </c>
      <c r="H153" s="16">
        <f t="shared" si="117"/>
        <v>101.46000000000001</v>
      </c>
      <c r="I153" s="1">
        <f t="shared" si="95"/>
        <v>101.46000000000001</v>
      </c>
      <c r="J153" s="51">
        <v>56</v>
      </c>
      <c r="K153" s="51">
        <v>56</v>
      </c>
      <c r="L153" s="14">
        <f t="shared" si="93"/>
        <v>56</v>
      </c>
      <c r="M153" s="52">
        <v>180</v>
      </c>
      <c r="N153" s="53">
        <v>9</v>
      </c>
      <c r="O153" s="53">
        <v>270</v>
      </c>
      <c r="P153" s="53">
        <v>13</v>
      </c>
      <c r="Q153" s="16"/>
      <c r="R153" s="54"/>
      <c r="S153" s="2">
        <f t="shared" si="96"/>
        <v>0.15242505983589338</v>
      </c>
      <c r="T153" s="2">
        <f t="shared" si="97"/>
        <v>0.22218153358001866</v>
      </c>
      <c r="U153" s="2">
        <f t="shared" si="98"/>
        <v>0.9623739524133059</v>
      </c>
      <c r="V153" s="3">
        <f t="shared" si="99"/>
        <v>55.54838213844082</v>
      </c>
      <c r="W153" s="4">
        <f t="shared" si="100"/>
        <v>74.35910534335866</v>
      </c>
      <c r="X153" s="5">
        <f t="shared" si="114"/>
        <v>235.54838213844081</v>
      </c>
      <c r="Y153" s="3">
        <f t="shared" si="101"/>
        <v>145.54838213844081</v>
      </c>
      <c r="Z153" s="6">
        <f t="shared" si="102"/>
        <v>15.640894656641336</v>
      </c>
      <c r="AA153" s="7">
        <f t="shared" si="103"/>
        <v>123.45013279654657</v>
      </c>
      <c r="AB153" s="8">
        <f t="shared" si="104"/>
        <v>123.45013279654657</v>
      </c>
      <c r="AC153" s="9">
        <f t="shared" si="105"/>
        <v>-0.5512110064255061</v>
      </c>
      <c r="AD153" s="9">
        <f t="shared" si="106"/>
        <v>0.8034696319992213</v>
      </c>
      <c r="AE153" s="9">
        <f t="shared" si="107"/>
        <v>0.224951054343865</v>
      </c>
      <c r="AF153" s="10">
        <f t="shared" si="108"/>
        <v>270</v>
      </c>
      <c r="AG153" s="8">
        <f t="shared" si="109"/>
        <v>13.000000000000004</v>
      </c>
      <c r="AH153" s="9">
        <f t="shared" si="110"/>
        <v>-3.777050870717415E-05</v>
      </c>
      <c r="AI153" s="11"/>
      <c r="AJ153" s="16"/>
      <c r="AK153" s="77"/>
      <c r="AL153" s="78"/>
      <c r="AM153" s="5"/>
      <c r="AN153" s="3"/>
      <c r="AO153" s="6"/>
      <c r="AP153" s="10"/>
      <c r="AQ153" s="7"/>
      <c r="AR153" s="10"/>
      <c r="AS153" s="17"/>
    </row>
    <row r="154" spans="1:45" ht="15">
      <c r="A154" s="11" t="s">
        <v>45</v>
      </c>
      <c r="B154" s="12" t="s">
        <v>46</v>
      </c>
      <c r="C154" s="13">
        <v>12</v>
      </c>
      <c r="D154" s="14">
        <v>3</v>
      </c>
      <c r="E154" s="15" t="s">
        <v>48</v>
      </c>
      <c r="F154" s="13"/>
      <c r="G154" s="16">
        <f aca="true" t="shared" si="118" ref="G154:H156">102.305+J154/100</f>
        <v>102.525</v>
      </c>
      <c r="H154" s="16">
        <f t="shared" si="118"/>
        <v>102.525</v>
      </c>
      <c r="I154" s="1">
        <f t="shared" si="95"/>
        <v>102.525</v>
      </c>
      <c r="J154" s="51">
        <v>22</v>
      </c>
      <c r="K154" s="51">
        <v>22</v>
      </c>
      <c r="L154" s="14">
        <f t="shared" si="93"/>
        <v>22</v>
      </c>
      <c r="M154" s="52">
        <v>0</v>
      </c>
      <c r="N154" s="53">
        <v>17</v>
      </c>
      <c r="O154" s="53">
        <v>90</v>
      </c>
      <c r="P154" s="53">
        <v>16</v>
      </c>
      <c r="Q154" s="16"/>
      <c r="R154" s="54"/>
      <c r="S154" s="2">
        <f t="shared" si="96"/>
        <v>-0.28104572072615536</v>
      </c>
      <c r="T154" s="2">
        <f t="shared" si="97"/>
        <v>-0.2635933142888717</v>
      </c>
      <c r="U154" s="2">
        <f t="shared" si="98"/>
        <v>0.9192591315509077</v>
      </c>
      <c r="V154" s="3">
        <f t="shared" si="99"/>
        <v>223.16464277688186</v>
      </c>
      <c r="W154" s="4">
        <f t="shared" si="100"/>
        <v>67.25857280745855</v>
      </c>
      <c r="X154" s="5">
        <f t="shared" si="114"/>
        <v>43.16464277688186</v>
      </c>
      <c r="Y154" s="3">
        <f t="shared" si="101"/>
        <v>313.16464277688186</v>
      </c>
      <c r="Z154" s="6">
        <f t="shared" si="102"/>
        <v>22.74142719254145</v>
      </c>
      <c r="AA154" s="7">
        <f t="shared" si="103"/>
        <v>134.51818090431277</v>
      </c>
      <c r="AB154" s="8">
        <f t="shared" si="104"/>
        <v>134.51818090431277</v>
      </c>
      <c r="AC154" s="9">
        <f t="shared" si="105"/>
        <v>-0.7011355552457226</v>
      </c>
      <c r="AD154" s="9">
        <f t="shared" si="106"/>
        <v>0.657596366511012</v>
      </c>
      <c r="AE154" s="9">
        <f t="shared" si="107"/>
        <v>0.2756373558169993</v>
      </c>
      <c r="AF154" s="10">
        <f t="shared" si="108"/>
        <v>90</v>
      </c>
      <c r="AG154" s="8">
        <f t="shared" si="109"/>
        <v>16.000000000000007</v>
      </c>
      <c r="AH154" s="9">
        <f t="shared" si="110"/>
        <v>-5.886840744775837E-05</v>
      </c>
      <c r="AI154" s="11"/>
      <c r="AJ154" s="16"/>
      <c r="AK154" s="77"/>
      <c r="AL154" s="78"/>
      <c r="AM154" s="5"/>
      <c r="AN154" s="3"/>
      <c r="AO154" s="6"/>
      <c r="AP154" s="10"/>
      <c r="AQ154" s="7"/>
      <c r="AR154" s="10"/>
      <c r="AS154" s="17"/>
    </row>
    <row r="155" spans="1:45" ht="15">
      <c r="A155" s="11" t="s">
        <v>45</v>
      </c>
      <c r="B155" s="12" t="s">
        <v>46</v>
      </c>
      <c r="C155" s="13">
        <v>12</v>
      </c>
      <c r="D155" s="14">
        <v>3</v>
      </c>
      <c r="E155" s="15" t="s">
        <v>48</v>
      </c>
      <c r="F155" s="13"/>
      <c r="G155" s="16">
        <f t="shared" si="118"/>
        <v>103.245</v>
      </c>
      <c r="H155" s="16">
        <f t="shared" si="118"/>
        <v>103.245</v>
      </c>
      <c r="I155" s="1">
        <f t="shared" si="95"/>
        <v>103.245</v>
      </c>
      <c r="J155" s="51">
        <v>94</v>
      </c>
      <c r="K155" s="51">
        <v>94</v>
      </c>
      <c r="L155" s="14">
        <f aca="true" t="shared" si="119" ref="L155:L186">(+J155+K155)/2</f>
        <v>94</v>
      </c>
      <c r="M155" s="52">
        <v>0</v>
      </c>
      <c r="N155" s="53">
        <v>0</v>
      </c>
      <c r="O155" s="53">
        <v>90</v>
      </c>
      <c r="P155" s="53">
        <v>0</v>
      </c>
      <c r="Q155" s="16"/>
      <c r="R155" s="54"/>
      <c r="S155" s="2">
        <f t="shared" si="96"/>
        <v>0</v>
      </c>
      <c r="T155" s="2">
        <f t="shared" si="97"/>
        <v>0</v>
      </c>
      <c r="U155" s="2">
        <f t="shared" si="98"/>
        <v>1</v>
      </c>
      <c r="V155" s="3">
        <f t="shared" si="99"/>
        <v>90</v>
      </c>
      <c r="W155" s="4">
        <f t="shared" si="100"/>
        <v>90</v>
      </c>
      <c r="X155" s="5">
        <f t="shared" si="114"/>
        <v>270</v>
      </c>
      <c r="Y155" s="3">
        <f t="shared" si="101"/>
        <v>180</v>
      </c>
      <c r="Z155" s="6">
        <f t="shared" si="102"/>
        <v>0</v>
      </c>
      <c r="AA155" s="7">
        <f t="shared" si="103"/>
        <v>89.99999999999999</v>
      </c>
      <c r="AB155" s="8">
        <f t="shared" si="104"/>
        <v>89.99999999999999</v>
      </c>
      <c r="AC155" s="9">
        <f t="shared" si="105"/>
        <v>2.833020276704623E-16</v>
      </c>
      <c r="AD155" s="9">
        <f t="shared" si="106"/>
        <v>1</v>
      </c>
      <c r="AE155" s="9">
        <f t="shared" si="107"/>
        <v>0</v>
      </c>
      <c r="AF155" s="10">
        <f t="shared" si="108"/>
        <v>270</v>
      </c>
      <c r="AG155" s="8">
        <f t="shared" si="109"/>
        <v>0</v>
      </c>
      <c r="AH155" s="9">
        <f t="shared" si="110"/>
        <v>0</v>
      </c>
      <c r="AI155" s="11"/>
      <c r="AJ155" s="16"/>
      <c r="AK155" s="77"/>
      <c r="AL155" s="78"/>
      <c r="AM155" s="5"/>
      <c r="AN155" s="3"/>
      <c r="AO155" s="6"/>
      <c r="AP155" s="10"/>
      <c r="AQ155" s="7"/>
      <c r="AR155" s="10"/>
      <c r="AS155" s="17"/>
    </row>
    <row r="156" spans="1:45" ht="15">
      <c r="A156" s="11" t="s">
        <v>45</v>
      </c>
      <c r="B156" s="12" t="s">
        <v>46</v>
      </c>
      <c r="C156" s="13">
        <v>12</v>
      </c>
      <c r="D156" s="14">
        <v>3</v>
      </c>
      <c r="E156" s="15" t="s">
        <v>48</v>
      </c>
      <c r="F156" s="13"/>
      <c r="G156" s="16">
        <f t="shared" si="118"/>
        <v>103.495</v>
      </c>
      <c r="H156" s="16">
        <f t="shared" si="118"/>
        <v>103.495</v>
      </c>
      <c r="I156" s="1">
        <f t="shared" si="95"/>
        <v>103.495</v>
      </c>
      <c r="J156" s="51">
        <v>119</v>
      </c>
      <c r="K156" s="51">
        <v>119</v>
      </c>
      <c r="L156" s="14">
        <f t="shared" si="119"/>
        <v>119</v>
      </c>
      <c r="M156" s="52">
        <v>0</v>
      </c>
      <c r="N156" s="53">
        <v>0</v>
      </c>
      <c r="O156" s="53">
        <v>90</v>
      </c>
      <c r="P156" s="53">
        <v>0</v>
      </c>
      <c r="Q156" s="16"/>
      <c r="R156" s="54"/>
      <c r="S156" s="2">
        <f t="shared" si="96"/>
        <v>0</v>
      </c>
      <c r="T156" s="2">
        <f t="shared" si="97"/>
        <v>0</v>
      </c>
      <c r="U156" s="2">
        <f t="shared" si="98"/>
        <v>1</v>
      </c>
      <c r="V156" s="3">
        <f t="shared" si="99"/>
        <v>90</v>
      </c>
      <c r="W156" s="4">
        <f t="shared" si="100"/>
        <v>90</v>
      </c>
      <c r="X156" s="5">
        <f t="shared" si="114"/>
        <v>270</v>
      </c>
      <c r="Y156" s="3">
        <f t="shared" si="101"/>
        <v>180</v>
      </c>
      <c r="Z156" s="6">
        <f t="shared" si="102"/>
        <v>0</v>
      </c>
      <c r="AA156" s="7">
        <f t="shared" si="103"/>
        <v>89.99999999999999</v>
      </c>
      <c r="AB156" s="8">
        <f t="shared" si="104"/>
        <v>89.99999999999999</v>
      </c>
      <c r="AC156" s="9">
        <f t="shared" si="105"/>
        <v>2.833020276704623E-16</v>
      </c>
      <c r="AD156" s="9">
        <f t="shared" si="106"/>
        <v>1</v>
      </c>
      <c r="AE156" s="9">
        <f t="shared" si="107"/>
        <v>0</v>
      </c>
      <c r="AF156" s="10">
        <f t="shared" si="108"/>
        <v>270</v>
      </c>
      <c r="AG156" s="8">
        <f t="shared" si="109"/>
        <v>0</v>
      </c>
      <c r="AH156" s="9">
        <f t="shared" si="110"/>
        <v>0</v>
      </c>
      <c r="AI156" s="11"/>
      <c r="AJ156" s="16"/>
      <c r="AK156" s="77"/>
      <c r="AL156" s="78"/>
      <c r="AM156" s="5"/>
      <c r="AN156" s="3"/>
      <c r="AO156" s="6"/>
      <c r="AP156" s="10"/>
      <c r="AQ156" s="7"/>
      <c r="AR156" s="10"/>
      <c r="AS156" s="17"/>
    </row>
    <row r="157" spans="1:45" ht="15">
      <c r="A157" s="11" t="s">
        <v>45</v>
      </c>
      <c r="B157" s="12" t="s">
        <v>46</v>
      </c>
      <c r="C157" s="13">
        <v>12</v>
      </c>
      <c r="D157" s="14">
        <v>4</v>
      </c>
      <c r="E157" s="15" t="s">
        <v>48</v>
      </c>
      <c r="F157" s="13"/>
      <c r="G157" s="16">
        <f aca="true" t="shared" si="120" ref="G157:H160">103.715+J157/100</f>
        <v>104.00500000000001</v>
      </c>
      <c r="H157" s="16">
        <f t="shared" si="120"/>
        <v>104.00500000000001</v>
      </c>
      <c r="I157" s="1">
        <f t="shared" si="95"/>
        <v>104.00500000000001</v>
      </c>
      <c r="J157" s="51">
        <v>29</v>
      </c>
      <c r="K157" s="51">
        <v>29</v>
      </c>
      <c r="L157" s="14">
        <f t="shared" si="119"/>
        <v>29</v>
      </c>
      <c r="M157" s="52">
        <v>0</v>
      </c>
      <c r="N157" s="53">
        <v>10</v>
      </c>
      <c r="O157" s="53">
        <v>90</v>
      </c>
      <c r="P157" s="53">
        <v>12</v>
      </c>
      <c r="Q157" s="16"/>
      <c r="R157" s="54"/>
      <c r="S157" s="2">
        <f t="shared" si="96"/>
        <v>-0.16985354835670552</v>
      </c>
      <c r="T157" s="2">
        <f t="shared" si="97"/>
        <v>-0.20475304505920647</v>
      </c>
      <c r="U157" s="2">
        <f t="shared" si="98"/>
        <v>0.9632873407929415</v>
      </c>
      <c r="V157" s="3">
        <f t="shared" si="99"/>
        <v>230.32248706201588</v>
      </c>
      <c r="W157" s="4">
        <f t="shared" si="100"/>
        <v>74.56128769428251</v>
      </c>
      <c r="X157" s="5">
        <f t="shared" si="114"/>
        <v>50.32248706201588</v>
      </c>
      <c r="Y157" s="3">
        <f t="shared" si="101"/>
        <v>320.32248706201585</v>
      </c>
      <c r="Z157" s="6">
        <f t="shared" si="102"/>
        <v>15.438712305717488</v>
      </c>
      <c r="AA157" s="7">
        <f t="shared" si="103"/>
        <v>128.64650982426267</v>
      </c>
      <c r="AB157" s="8">
        <f t="shared" si="104"/>
        <v>128.64650982426267</v>
      </c>
      <c r="AC157" s="9">
        <f t="shared" si="105"/>
        <v>-0.6245137899967353</v>
      </c>
      <c r="AD157" s="9">
        <f t="shared" si="106"/>
        <v>0.7528314917199027</v>
      </c>
      <c r="AE157" s="9">
        <f t="shared" si="107"/>
        <v>0.2079116908177592</v>
      </c>
      <c r="AF157" s="10">
        <f t="shared" si="108"/>
        <v>90</v>
      </c>
      <c r="AG157" s="8">
        <f t="shared" si="109"/>
        <v>11.999999999999993</v>
      </c>
      <c r="AH157" s="9">
        <f t="shared" si="110"/>
        <v>-3.9551788377943353E-05</v>
      </c>
      <c r="AI157" s="11"/>
      <c r="AJ157" s="16"/>
      <c r="AK157" s="77"/>
      <c r="AL157" s="78"/>
      <c r="AM157" s="5"/>
      <c r="AN157" s="3"/>
      <c r="AO157" s="6"/>
      <c r="AP157" s="10"/>
      <c r="AQ157" s="7"/>
      <c r="AR157" s="10"/>
      <c r="AS157" s="17"/>
    </row>
    <row r="158" spans="1:45" ht="15">
      <c r="A158" s="11" t="s">
        <v>45</v>
      </c>
      <c r="B158" s="12" t="s">
        <v>46</v>
      </c>
      <c r="C158" s="13">
        <v>12</v>
      </c>
      <c r="D158" s="14">
        <v>4</v>
      </c>
      <c r="E158" s="15" t="s">
        <v>48</v>
      </c>
      <c r="F158" s="13"/>
      <c r="G158" s="16">
        <f t="shared" si="120"/>
        <v>104.315</v>
      </c>
      <c r="H158" s="16">
        <f t="shared" si="120"/>
        <v>104.315</v>
      </c>
      <c r="I158" s="1">
        <f t="shared" si="95"/>
        <v>104.315</v>
      </c>
      <c r="J158" s="51">
        <v>60</v>
      </c>
      <c r="K158" s="51">
        <v>60</v>
      </c>
      <c r="L158" s="14">
        <f t="shared" si="119"/>
        <v>60</v>
      </c>
      <c r="M158" s="52">
        <v>0</v>
      </c>
      <c r="N158" s="53">
        <v>8</v>
      </c>
      <c r="O158" s="53">
        <v>90</v>
      </c>
      <c r="P158" s="53">
        <v>0</v>
      </c>
      <c r="Q158" s="16"/>
      <c r="R158" s="54"/>
      <c r="S158" s="2">
        <f t="shared" si="96"/>
        <v>-0.13917310096006544</v>
      </c>
      <c r="T158" s="2">
        <f t="shared" si="97"/>
        <v>8.525385480303278E-18</v>
      </c>
      <c r="U158" s="2">
        <f t="shared" si="98"/>
        <v>0.9902680687415704</v>
      </c>
      <c r="V158" s="3">
        <f t="shared" si="99"/>
        <v>180</v>
      </c>
      <c r="W158" s="4">
        <f t="shared" si="100"/>
        <v>82.00000000000003</v>
      </c>
      <c r="X158" s="5">
        <f t="shared" si="114"/>
        <v>0</v>
      </c>
      <c r="Y158" s="3">
        <f t="shared" si="101"/>
        <v>270</v>
      </c>
      <c r="Z158" s="6">
        <f t="shared" si="102"/>
        <v>7.999999999999972</v>
      </c>
      <c r="AA158" s="7">
        <f t="shared" si="103"/>
        <v>0</v>
      </c>
      <c r="AB158" s="8">
        <f t="shared" si="104"/>
        <v>0</v>
      </c>
      <c r="AC158" s="9">
        <f t="shared" si="105"/>
        <v>1</v>
      </c>
      <c r="AD158" s="9">
        <f t="shared" si="106"/>
        <v>0</v>
      </c>
      <c r="AE158" s="9">
        <f t="shared" si="107"/>
        <v>0</v>
      </c>
      <c r="AF158" s="10">
        <f t="shared" si="108"/>
        <v>270</v>
      </c>
      <c r="AG158" s="8">
        <f t="shared" si="109"/>
        <v>0</v>
      </c>
      <c r="AH158" s="9">
        <f t="shared" si="110"/>
        <v>0</v>
      </c>
      <c r="AI158" s="11"/>
      <c r="AJ158" s="16"/>
      <c r="AK158" s="77"/>
      <c r="AL158" s="78"/>
      <c r="AM158" s="5"/>
      <c r="AN158" s="3"/>
      <c r="AO158" s="6"/>
      <c r="AP158" s="10"/>
      <c r="AQ158" s="7"/>
      <c r="AR158" s="10"/>
      <c r="AS158" s="17"/>
    </row>
    <row r="159" spans="1:45" ht="15">
      <c r="A159" s="11" t="s">
        <v>45</v>
      </c>
      <c r="B159" s="13" t="s">
        <v>46</v>
      </c>
      <c r="C159" s="13">
        <v>12</v>
      </c>
      <c r="D159" s="14">
        <v>4</v>
      </c>
      <c r="E159" s="15" t="s">
        <v>48</v>
      </c>
      <c r="F159" s="13"/>
      <c r="G159" s="16">
        <f t="shared" si="120"/>
        <v>104.485</v>
      </c>
      <c r="H159" s="16">
        <f t="shared" si="120"/>
        <v>104.485</v>
      </c>
      <c r="I159" s="1">
        <f t="shared" si="95"/>
        <v>104.485</v>
      </c>
      <c r="J159" s="51">
        <v>77</v>
      </c>
      <c r="K159" s="51">
        <v>77</v>
      </c>
      <c r="L159" s="14">
        <f t="shared" si="119"/>
        <v>77</v>
      </c>
      <c r="M159" s="52">
        <v>0</v>
      </c>
      <c r="N159" s="53">
        <v>14</v>
      </c>
      <c r="O159" s="53">
        <v>270</v>
      </c>
      <c r="P159" s="53">
        <v>22</v>
      </c>
      <c r="Q159" s="16"/>
      <c r="R159" s="54"/>
      <c r="S159" s="2">
        <f t="shared" si="96"/>
        <v>0.22430607566620386</v>
      </c>
      <c r="T159" s="2">
        <f t="shared" si="97"/>
        <v>-0.36347917662626933</v>
      </c>
      <c r="U159" s="2">
        <f t="shared" si="98"/>
        <v>-0.8996425315582589</v>
      </c>
      <c r="V159" s="3">
        <f t="shared" si="99"/>
        <v>301.67908654599745</v>
      </c>
      <c r="W159" s="4">
        <f t="shared" si="100"/>
        <v>-64.60327665273613</v>
      </c>
      <c r="X159" s="5">
        <f t="shared" si="114"/>
        <v>301.67908654599745</v>
      </c>
      <c r="Y159" s="3">
        <f t="shared" si="101"/>
        <v>211.67908654599745</v>
      </c>
      <c r="Z159" s="6">
        <f t="shared" si="102"/>
        <v>25.396723347263872</v>
      </c>
      <c r="AA159" s="7">
        <f t="shared" si="103"/>
        <v>60.86160134854866</v>
      </c>
      <c r="AB159" s="8">
        <f t="shared" si="104"/>
        <v>60.86160134854866</v>
      </c>
      <c r="AC159" s="9">
        <f t="shared" si="105"/>
        <v>0.4869208583610898</v>
      </c>
      <c r="AD159" s="9">
        <f t="shared" si="106"/>
        <v>0.7890361068178218</v>
      </c>
      <c r="AE159" s="9">
        <f t="shared" si="107"/>
        <v>0.3746065934159121</v>
      </c>
      <c r="AF159" s="10">
        <f t="shared" si="108"/>
        <v>270</v>
      </c>
      <c r="AG159" s="8">
        <f t="shared" si="109"/>
        <v>22.000000000000007</v>
      </c>
      <c r="AH159" s="9">
        <f t="shared" si="110"/>
        <v>5.556229928090816E-05</v>
      </c>
      <c r="AI159" s="11"/>
      <c r="AJ159" s="16"/>
      <c r="AK159" s="77"/>
      <c r="AL159" s="78"/>
      <c r="AM159" s="5"/>
      <c r="AN159" s="3"/>
      <c r="AO159" s="6"/>
      <c r="AP159" s="10"/>
      <c r="AQ159" s="7"/>
      <c r="AR159" s="10"/>
      <c r="AS159" s="17"/>
    </row>
    <row r="160" spans="1:45" ht="15">
      <c r="A160" s="11" t="s">
        <v>45</v>
      </c>
      <c r="B160" s="12" t="s">
        <v>46</v>
      </c>
      <c r="C160" s="13">
        <v>12</v>
      </c>
      <c r="D160" s="14">
        <v>4</v>
      </c>
      <c r="E160" s="15" t="s">
        <v>48</v>
      </c>
      <c r="F160" s="13"/>
      <c r="G160" s="16">
        <f t="shared" si="120"/>
        <v>104.635</v>
      </c>
      <c r="H160" s="16">
        <f t="shared" si="120"/>
        <v>104.635</v>
      </c>
      <c r="I160" s="1">
        <f t="shared" si="95"/>
        <v>104.635</v>
      </c>
      <c r="J160" s="51">
        <v>92</v>
      </c>
      <c r="K160" s="51">
        <v>92</v>
      </c>
      <c r="L160" s="14">
        <f t="shared" si="119"/>
        <v>92</v>
      </c>
      <c r="M160" s="52">
        <v>180</v>
      </c>
      <c r="N160" s="53">
        <v>17</v>
      </c>
      <c r="O160" s="53">
        <v>270</v>
      </c>
      <c r="P160" s="53">
        <v>15</v>
      </c>
      <c r="Q160" s="16"/>
      <c r="R160" s="54"/>
      <c r="S160" s="2">
        <f t="shared" si="96"/>
        <v>0.2824093804678531</v>
      </c>
      <c r="T160" s="2">
        <f t="shared" si="97"/>
        <v>0.2475098837653519</v>
      </c>
      <c r="U160" s="2">
        <f t="shared" si="98"/>
        <v>0.9237194615877609</v>
      </c>
      <c r="V160" s="3">
        <f t="shared" si="99"/>
        <v>41.232047859847356</v>
      </c>
      <c r="W160" s="4">
        <f t="shared" si="100"/>
        <v>67.87669944423355</v>
      </c>
      <c r="X160" s="5">
        <f t="shared" si="114"/>
        <v>221.23204785984734</v>
      </c>
      <c r="Y160" s="3">
        <f t="shared" si="101"/>
        <v>131.23204785984734</v>
      </c>
      <c r="Z160" s="6">
        <f t="shared" si="102"/>
        <v>22.12330055576645</v>
      </c>
      <c r="AA160" s="7">
        <f t="shared" si="103"/>
        <v>136.58718708614475</v>
      </c>
      <c r="AB160" s="8">
        <f t="shared" si="104"/>
        <v>136.58718708614475</v>
      </c>
      <c r="AC160" s="9">
        <f t="shared" si="105"/>
        <v>-0.7264210011191478</v>
      </c>
      <c r="AD160" s="9">
        <f t="shared" si="106"/>
        <v>0.6366515774152095</v>
      </c>
      <c r="AE160" s="9">
        <f t="shared" si="107"/>
        <v>0.2588190451025206</v>
      </c>
      <c r="AF160" s="10">
        <f t="shared" si="108"/>
        <v>270</v>
      </c>
      <c r="AG160" s="8">
        <f t="shared" si="109"/>
        <v>14.999999999999993</v>
      </c>
      <c r="AH160" s="9">
        <f t="shared" si="110"/>
        <v>-5.726987629955169E-05</v>
      </c>
      <c r="AI160" s="11"/>
      <c r="AJ160" s="16"/>
      <c r="AK160" s="77"/>
      <c r="AL160" s="78"/>
      <c r="AM160" s="5"/>
      <c r="AN160" s="3"/>
      <c r="AO160" s="6"/>
      <c r="AP160" s="10"/>
      <c r="AQ160" s="7"/>
      <c r="AR160" s="10"/>
      <c r="AS160" s="17"/>
    </row>
    <row r="161" spans="1:45" ht="15">
      <c r="A161" s="11" t="s">
        <v>45</v>
      </c>
      <c r="B161" s="12" t="s">
        <v>46</v>
      </c>
      <c r="C161" s="13">
        <v>12</v>
      </c>
      <c r="D161" s="14">
        <v>5</v>
      </c>
      <c r="E161" s="15" t="s">
        <v>48</v>
      </c>
      <c r="F161" s="13"/>
      <c r="G161" s="16">
        <f>105.125+J161/100</f>
        <v>105.415</v>
      </c>
      <c r="H161" s="16">
        <f>105.125+K161/100</f>
        <v>105.415</v>
      </c>
      <c r="I161" s="1">
        <f t="shared" si="95"/>
        <v>105.415</v>
      </c>
      <c r="J161" s="51">
        <v>29</v>
      </c>
      <c r="K161" s="51">
        <v>29</v>
      </c>
      <c r="L161" s="14">
        <f t="shared" si="119"/>
        <v>29</v>
      </c>
      <c r="M161" s="52">
        <v>0</v>
      </c>
      <c r="N161" s="53">
        <v>0</v>
      </c>
      <c r="O161" s="53">
        <v>90</v>
      </c>
      <c r="P161" s="53">
        <v>0</v>
      </c>
      <c r="Q161" s="16"/>
      <c r="R161" s="54"/>
      <c r="S161" s="2">
        <f t="shared" si="96"/>
        <v>0</v>
      </c>
      <c r="T161" s="2">
        <f t="shared" si="97"/>
        <v>0</v>
      </c>
      <c r="U161" s="2">
        <f t="shared" si="98"/>
        <v>1</v>
      </c>
      <c r="V161" s="3">
        <f t="shared" si="99"/>
        <v>90</v>
      </c>
      <c r="W161" s="4">
        <f t="shared" si="100"/>
        <v>90</v>
      </c>
      <c r="X161" s="5">
        <f t="shared" si="114"/>
        <v>270</v>
      </c>
      <c r="Y161" s="3">
        <f t="shared" si="101"/>
        <v>180</v>
      </c>
      <c r="Z161" s="6">
        <f t="shared" si="102"/>
        <v>0</v>
      </c>
      <c r="AA161" s="7">
        <f t="shared" si="103"/>
        <v>89.99999999999999</v>
      </c>
      <c r="AB161" s="8">
        <f t="shared" si="104"/>
        <v>89.99999999999999</v>
      </c>
      <c r="AC161" s="9">
        <f t="shared" si="105"/>
        <v>2.833020276704623E-16</v>
      </c>
      <c r="AD161" s="9">
        <f t="shared" si="106"/>
        <v>1</v>
      </c>
      <c r="AE161" s="9">
        <f t="shared" si="107"/>
        <v>0</v>
      </c>
      <c r="AF161" s="10">
        <f t="shared" si="108"/>
        <v>270</v>
      </c>
      <c r="AG161" s="8">
        <f t="shared" si="109"/>
        <v>0</v>
      </c>
      <c r="AH161" s="9">
        <f t="shared" si="110"/>
        <v>0</v>
      </c>
      <c r="AI161" s="11"/>
      <c r="AJ161" s="16"/>
      <c r="AK161" s="77"/>
      <c r="AL161" s="78"/>
      <c r="AM161" s="5"/>
      <c r="AN161" s="3"/>
      <c r="AO161" s="6"/>
      <c r="AP161" s="10"/>
      <c r="AQ161" s="7"/>
      <c r="AR161" s="10"/>
      <c r="AS161" s="17"/>
    </row>
    <row r="162" spans="1:45" ht="15">
      <c r="A162" s="11" t="s">
        <v>45</v>
      </c>
      <c r="B162" s="12" t="s">
        <v>46</v>
      </c>
      <c r="C162" s="13">
        <v>12</v>
      </c>
      <c r="D162" s="14">
        <v>5</v>
      </c>
      <c r="E162" s="15" t="s">
        <v>48</v>
      </c>
      <c r="F162" s="13"/>
      <c r="G162" s="16">
        <f>105.125+J162/100</f>
        <v>105.735</v>
      </c>
      <c r="H162" s="16">
        <f>105.125+K162/100</f>
        <v>105.735</v>
      </c>
      <c r="I162" s="1">
        <f t="shared" si="95"/>
        <v>105.735</v>
      </c>
      <c r="J162" s="51">
        <v>61</v>
      </c>
      <c r="K162" s="51">
        <v>61</v>
      </c>
      <c r="L162" s="14">
        <f t="shared" si="119"/>
        <v>61</v>
      </c>
      <c r="M162" s="52">
        <v>0</v>
      </c>
      <c r="N162" s="53">
        <v>0</v>
      </c>
      <c r="O162" s="53">
        <v>90</v>
      </c>
      <c r="P162" s="53">
        <v>0</v>
      </c>
      <c r="Q162" s="16"/>
      <c r="R162" s="54"/>
      <c r="S162" s="2">
        <f t="shared" si="96"/>
        <v>0</v>
      </c>
      <c r="T162" s="2">
        <f t="shared" si="97"/>
        <v>0</v>
      </c>
      <c r="U162" s="2">
        <f t="shared" si="98"/>
        <v>1</v>
      </c>
      <c r="V162" s="3">
        <f t="shared" si="99"/>
        <v>90</v>
      </c>
      <c r="W162" s="4">
        <f t="shared" si="100"/>
        <v>90</v>
      </c>
      <c r="X162" s="5">
        <f t="shared" si="114"/>
        <v>270</v>
      </c>
      <c r="Y162" s="3">
        <f t="shared" si="101"/>
        <v>180</v>
      </c>
      <c r="Z162" s="6">
        <f t="shared" si="102"/>
        <v>0</v>
      </c>
      <c r="AA162" s="7">
        <f t="shared" si="103"/>
        <v>89.99999999999999</v>
      </c>
      <c r="AB162" s="8">
        <f t="shared" si="104"/>
        <v>89.99999999999999</v>
      </c>
      <c r="AC162" s="9">
        <f t="shared" si="105"/>
        <v>2.833020276704623E-16</v>
      </c>
      <c r="AD162" s="9">
        <f t="shared" si="106"/>
        <v>1</v>
      </c>
      <c r="AE162" s="9">
        <f t="shared" si="107"/>
        <v>0</v>
      </c>
      <c r="AF162" s="10">
        <f t="shared" si="108"/>
        <v>270</v>
      </c>
      <c r="AG162" s="8">
        <f t="shared" si="109"/>
        <v>0</v>
      </c>
      <c r="AH162" s="9">
        <f t="shared" si="110"/>
        <v>0</v>
      </c>
      <c r="AI162" s="11"/>
      <c r="AJ162" s="16"/>
      <c r="AK162" s="77"/>
      <c r="AL162" s="78"/>
      <c r="AM162" s="5"/>
      <c r="AN162" s="3"/>
      <c r="AO162" s="6"/>
      <c r="AP162" s="10"/>
      <c r="AQ162" s="7"/>
      <c r="AR162" s="10"/>
      <c r="AS162" s="17"/>
    </row>
    <row r="163" spans="1:45" ht="15">
      <c r="A163" s="11" t="s">
        <v>45</v>
      </c>
      <c r="B163" s="12" t="s">
        <v>46</v>
      </c>
      <c r="C163" s="13">
        <v>12</v>
      </c>
      <c r="D163" s="14">
        <v>7</v>
      </c>
      <c r="E163" s="15" t="s">
        <v>48</v>
      </c>
      <c r="F163" s="13"/>
      <c r="G163" s="16">
        <f>106.225+J163/100</f>
        <v>106.475</v>
      </c>
      <c r="H163" s="16">
        <f>106.225+K163/100</f>
        <v>106.475</v>
      </c>
      <c r="I163" s="1">
        <f aca="true" t="shared" si="121" ref="I163:I194">(G163+H163)/2</f>
        <v>106.475</v>
      </c>
      <c r="J163" s="51">
        <v>25</v>
      </c>
      <c r="K163" s="51">
        <v>25</v>
      </c>
      <c r="L163" s="14">
        <f t="shared" si="119"/>
        <v>25</v>
      </c>
      <c r="M163" s="52">
        <v>0</v>
      </c>
      <c r="N163" s="53">
        <v>0</v>
      </c>
      <c r="O163" s="53">
        <v>90</v>
      </c>
      <c r="P163" s="53">
        <v>0</v>
      </c>
      <c r="Q163" s="16"/>
      <c r="R163" s="54"/>
      <c r="S163" s="2">
        <f aca="true" t="shared" si="122" ref="S163:S180">COS(N163*PI()/180)*SIN(M163*PI()/180)*(SIN(P163*PI()/180))-(COS(P163*PI()/180)*SIN(O163*PI()/180))*(SIN(N163*PI()/180))</f>
        <v>0</v>
      </c>
      <c r="T163" s="2">
        <f aca="true" t="shared" si="123" ref="T163:T180">(SIN(N163*PI()/180))*(COS(P163*PI()/180)*COS(O163*PI()/180))-(SIN(P163*PI()/180))*(COS(N163*PI()/180)*COS(M163*PI()/180))</f>
        <v>0</v>
      </c>
      <c r="U163" s="2">
        <f aca="true" t="shared" si="124" ref="U163:U180">(COS(N163*PI()/180)*COS(M163*PI()/180))*(COS(P163*PI()/180)*SIN(O163*PI()/180))-(COS(N163*PI()/180)*SIN(M163*PI()/180))*(COS(P163*PI()/180)*COS(O163*PI()/180))</f>
        <v>1</v>
      </c>
      <c r="V163" s="3">
        <f aca="true" t="shared" si="125" ref="V163:V180">IF(S163=0,IF(T163&gt;=0,90,270),IF(S163&gt;0,IF(T163&gt;=0,ATAN(T163/S163)*180/PI(),ATAN(T163/S163)*180/PI()+360),ATAN(T163/S163)*180/PI()+180))</f>
        <v>90</v>
      </c>
      <c r="W163" s="4">
        <f aca="true" t="shared" si="126" ref="W163:W180">ASIN(U163/SQRT(S163^2+T163^2+U163^2))*180/PI()</f>
        <v>90</v>
      </c>
      <c r="X163" s="5">
        <f t="shared" si="114"/>
        <v>270</v>
      </c>
      <c r="Y163" s="3">
        <f aca="true" t="shared" si="127" ref="Y163:Y194">IF(X163-90&lt;0,X163+270,X163-90)</f>
        <v>180</v>
      </c>
      <c r="Z163" s="6">
        <f aca="true" t="shared" si="128" ref="Z163:Z180">IF(U163&lt;0,90+W163,90-W163)</f>
        <v>0</v>
      </c>
      <c r="AA163" s="7">
        <f aca="true" t="shared" si="129" ref="AA163:AA180">IF(-T163&lt;0,180-ACOS(SIN((X163-90)*PI()/180)*U163/SQRT(T163^2+U163^2))*180/PI(),ACOS(SIN((X163-90)*PI()/180)*U163/SQRT(T163^2+U163^2))*180/PI())</f>
        <v>89.99999999999999</v>
      </c>
      <c r="AB163" s="8">
        <f aca="true" t="shared" si="130" ref="AB163:AB194">IF(R163=90,IF(AA163-Q163&lt;0,AA163-Q163+180,AA163-Q163),IF(AA163+Q163&gt;180,AA163+Q163-180,AA163+Q163))</f>
        <v>89.99999999999999</v>
      </c>
      <c r="AC163" s="9">
        <f aca="true" t="shared" si="131" ref="AC163:AC194">COS(AB163*PI()/180)</f>
        <v>2.833020276704623E-16</v>
      </c>
      <c r="AD163" s="9">
        <f aca="true" t="shared" si="132" ref="AD163:AD180">SIN(AB163*PI()/180)*COS(Z163*PI()/180)</f>
        <v>1</v>
      </c>
      <c r="AE163" s="9">
        <f aca="true" t="shared" si="133" ref="AE163:AE180">SIN(AB163*PI()/180)*SIN(Z163*PI()/180)</f>
        <v>0</v>
      </c>
      <c r="AF163" s="10">
        <f aca="true" t="shared" si="134" ref="AF163:AF180">IF(IF(AC163=0,IF(AD163&gt;=0,90,270),IF(AC163&gt;0,IF(AD163&gt;=0,ATAN(AD163/AC163)*180/PI(),ATAN(AD163/AC163)*180/PI()+360),ATAN(AD163/AC163)*180/PI()+180))-(360-Y163)&lt;0,IF(AC163=0,IF(AD163&gt;=0,90,270),IF(AC163&gt;0,IF(AD163&gt;=0,ATAN(AD163/AC163)*180/PI(),ATAN(AD163/AC163)*180/PI()+360),ATAN(AD163/AC163)*180/PI()+180))+Y163,IF(AC163=0,IF(AD163&gt;=0,90,270),IF(AC163&gt;0,IF(AD163&gt;=0,ATAN(AD163/AC163)*180/PI(),ATAN(AD163/AC163)*180/PI()+360),ATAN(AD163/AC163)*180/PI()+180))-(360-Y163))</f>
        <v>270</v>
      </c>
      <c r="AG163" s="8">
        <f aca="true" t="shared" si="135" ref="AG163:AG180">ASIN(AE163/SQRT(AC163^2+AD163^2+AE163^2))*180/PI()</f>
        <v>0</v>
      </c>
      <c r="AH163" s="9">
        <f aca="true" t="shared" si="136" ref="AH163:AH180">SIN(AE163*PI()/180)*SIN(AC163*PI()/180)</f>
        <v>0</v>
      </c>
      <c r="AI163" s="11"/>
      <c r="AJ163" s="16"/>
      <c r="AK163" s="77"/>
      <c r="AL163" s="78"/>
      <c r="AM163" s="5"/>
      <c r="AN163" s="3"/>
      <c r="AO163" s="6"/>
      <c r="AP163" s="10"/>
      <c r="AQ163" s="7"/>
      <c r="AR163" s="10"/>
      <c r="AS163" s="17"/>
    </row>
    <row r="164" spans="1:45" ht="15">
      <c r="A164" s="11" t="s">
        <v>45</v>
      </c>
      <c r="B164" s="12" t="s">
        <v>46</v>
      </c>
      <c r="C164" s="13">
        <v>13</v>
      </c>
      <c r="D164" s="14">
        <v>1</v>
      </c>
      <c r="E164" s="15" t="s">
        <v>48</v>
      </c>
      <c r="F164" s="13"/>
      <c r="G164" s="16">
        <f>109+J164/100</f>
        <v>109.23</v>
      </c>
      <c r="H164" s="16">
        <f>109+K164/100</f>
        <v>109.23</v>
      </c>
      <c r="I164" s="1">
        <f t="shared" si="121"/>
        <v>109.23</v>
      </c>
      <c r="J164" s="51">
        <v>23</v>
      </c>
      <c r="K164" s="51">
        <v>23</v>
      </c>
      <c r="L164" s="14">
        <f t="shared" si="119"/>
        <v>23</v>
      </c>
      <c r="M164" s="52">
        <v>0</v>
      </c>
      <c r="N164" s="53">
        <v>0</v>
      </c>
      <c r="O164" s="53">
        <v>90</v>
      </c>
      <c r="P164" s="53">
        <v>0</v>
      </c>
      <c r="Q164" s="16"/>
      <c r="R164" s="54"/>
      <c r="S164" s="2">
        <f t="shared" si="122"/>
        <v>0</v>
      </c>
      <c r="T164" s="2">
        <f t="shared" si="123"/>
        <v>0</v>
      </c>
      <c r="U164" s="2">
        <f t="shared" si="124"/>
        <v>1</v>
      </c>
      <c r="V164" s="3">
        <f t="shared" si="125"/>
        <v>90</v>
      </c>
      <c r="W164" s="4">
        <f t="shared" si="126"/>
        <v>90</v>
      </c>
      <c r="X164" s="5">
        <f t="shared" si="114"/>
        <v>270</v>
      </c>
      <c r="Y164" s="3">
        <f t="shared" si="127"/>
        <v>180</v>
      </c>
      <c r="Z164" s="6">
        <f t="shared" si="128"/>
        <v>0</v>
      </c>
      <c r="AA164" s="7">
        <f t="shared" si="129"/>
        <v>89.99999999999999</v>
      </c>
      <c r="AB164" s="8">
        <f t="shared" si="130"/>
        <v>89.99999999999999</v>
      </c>
      <c r="AC164" s="9">
        <f t="shared" si="131"/>
        <v>2.833020276704623E-16</v>
      </c>
      <c r="AD164" s="9">
        <f t="shared" si="132"/>
        <v>1</v>
      </c>
      <c r="AE164" s="9">
        <f t="shared" si="133"/>
        <v>0</v>
      </c>
      <c r="AF164" s="10">
        <f t="shared" si="134"/>
        <v>270</v>
      </c>
      <c r="AG164" s="8">
        <f t="shared" si="135"/>
        <v>0</v>
      </c>
      <c r="AH164" s="9">
        <f t="shared" si="136"/>
        <v>0</v>
      </c>
      <c r="AI164" s="11"/>
      <c r="AJ164" s="16"/>
      <c r="AK164" s="77"/>
      <c r="AL164" s="78"/>
      <c r="AM164" s="5"/>
      <c r="AN164" s="3"/>
      <c r="AO164" s="6"/>
      <c r="AP164" s="10"/>
      <c r="AQ164" s="7"/>
      <c r="AR164" s="10"/>
      <c r="AS164" s="17"/>
    </row>
    <row r="165" spans="1:45" ht="15">
      <c r="A165" s="11" t="s">
        <v>45</v>
      </c>
      <c r="B165" s="12" t="s">
        <v>46</v>
      </c>
      <c r="C165" s="13">
        <v>13</v>
      </c>
      <c r="D165" s="14">
        <v>1</v>
      </c>
      <c r="E165" s="15" t="s">
        <v>48</v>
      </c>
      <c r="F165" s="13"/>
      <c r="G165" s="16">
        <f>109+J165/100</f>
        <v>109.665</v>
      </c>
      <c r="H165" s="16">
        <f>109+K165/100</f>
        <v>109.665</v>
      </c>
      <c r="I165" s="1">
        <f t="shared" si="121"/>
        <v>109.665</v>
      </c>
      <c r="J165" s="51">
        <v>66.5</v>
      </c>
      <c r="K165" s="51">
        <v>66.5</v>
      </c>
      <c r="L165" s="14">
        <f t="shared" si="119"/>
        <v>66.5</v>
      </c>
      <c r="M165" s="52">
        <v>180</v>
      </c>
      <c r="N165" s="53">
        <v>3</v>
      </c>
      <c r="O165" s="53">
        <v>90</v>
      </c>
      <c r="P165" s="53">
        <v>0</v>
      </c>
      <c r="Q165" s="16"/>
      <c r="R165" s="54"/>
      <c r="S165" s="2">
        <f t="shared" si="122"/>
        <v>-0.05233595624294383</v>
      </c>
      <c r="T165" s="2">
        <f t="shared" si="123"/>
        <v>3.205965796360389E-18</v>
      </c>
      <c r="U165" s="2">
        <f t="shared" si="124"/>
        <v>-0.9986295347545738</v>
      </c>
      <c r="V165" s="3">
        <f t="shared" si="125"/>
        <v>180</v>
      </c>
      <c r="W165" s="4">
        <f t="shared" si="126"/>
        <v>-86.99999999999984</v>
      </c>
      <c r="X165" s="5">
        <f t="shared" si="114"/>
        <v>180</v>
      </c>
      <c r="Y165" s="3">
        <f t="shared" si="127"/>
        <v>90</v>
      </c>
      <c r="Z165" s="6">
        <f t="shared" si="128"/>
        <v>3.0000000000001563</v>
      </c>
      <c r="AA165" s="7">
        <f t="shared" si="129"/>
        <v>0</v>
      </c>
      <c r="AB165" s="8">
        <f t="shared" si="130"/>
        <v>0</v>
      </c>
      <c r="AC165" s="9">
        <f t="shared" si="131"/>
        <v>1</v>
      </c>
      <c r="AD165" s="9">
        <f t="shared" si="132"/>
        <v>0</v>
      </c>
      <c r="AE165" s="9">
        <f t="shared" si="133"/>
        <v>0</v>
      </c>
      <c r="AF165" s="10">
        <f t="shared" si="134"/>
        <v>90</v>
      </c>
      <c r="AG165" s="8">
        <f t="shared" si="135"/>
        <v>0</v>
      </c>
      <c r="AH165" s="9">
        <f t="shared" si="136"/>
        <v>0</v>
      </c>
      <c r="AI165" s="11"/>
      <c r="AJ165" s="16"/>
      <c r="AK165" s="77"/>
      <c r="AL165" s="78"/>
      <c r="AM165" s="5"/>
      <c r="AN165" s="3"/>
      <c r="AO165" s="6"/>
      <c r="AP165" s="10"/>
      <c r="AQ165" s="7"/>
      <c r="AR165" s="10"/>
      <c r="AS165" s="17"/>
    </row>
    <row r="166" spans="1:45" ht="15">
      <c r="A166" s="11" t="s">
        <v>45</v>
      </c>
      <c r="B166" s="12" t="s">
        <v>46</v>
      </c>
      <c r="C166" s="13">
        <v>13</v>
      </c>
      <c r="D166" s="14">
        <v>2</v>
      </c>
      <c r="E166" s="15" t="s">
        <v>48</v>
      </c>
      <c r="F166" s="13"/>
      <c r="G166" s="16">
        <f aca="true" t="shared" si="137" ref="G166:H168">110.1+J166/100</f>
        <v>110.27</v>
      </c>
      <c r="H166" s="16">
        <f t="shared" si="137"/>
        <v>110.27</v>
      </c>
      <c r="I166" s="1">
        <f t="shared" si="121"/>
        <v>110.27</v>
      </c>
      <c r="J166" s="51">
        <v>17</v>
      </c>
      <c r="K166" s="51">
        <v>17</v>
      </c>
      <c r="L166" s="14">
        <f t="shared" si="119"/>
        <v>17</v>
      </c>
      <c r="M166" s="52">
        <v>180</v>
      </c>
      <c r="N166" s="53">
        <v>23</v>
      </c>
      <c r="O166" s="53">
        <v>90</v>
      </c>
      <c r="P166" s="53">
        <v>0</v>
      </c>
      <c r="Q166" s="16"/>
      <c r="R166" s="54"/>
      <c r="S166" s="2">
        <f t="shared" si="122"/>
        <v>-0.3907311284892737</v>
      </c>
      <c r="T166" s="2">
        <f t="shared" si="123"/>
        <v>2.3935181917666758E-17</v>
      </c>
      <c r="U166" s="2">
        <f t="shared" si="124"/>
        <v>-0.9205048534524404</v>
      </c>
      <c r="V166" s="3">
        <f t="shared" si="125"/>
        <v>180</v>
      </c>
      <c r="W166" s="4">
        <f t="shared" si="126"/>
        <v>-67.00000000000001</v>
      </c>
      <c r="X166" s="5">
        <f t="shared" si="114"/>
        <v>180</v>
      </c>
      <c r="Y166" s="3">
        <f t="shared" si="127"/>
        <v>90</v>
      </c>
      <c r="Z166" s="6">
        <f t="shared" si="128"/>
        <v>22.999999999999986</v>
      </c>
      <c r="AA166" s="7">
        <f t="shared" si="129"/>
        <v>0</v>
      </c>
      <c r="AB166" s="8">
        <f t="shared" si="130"/>
        <v>0</v>
      </c>
      <c r="AC166" s="9">
        <f t="shared" si="131"/>
        <v>1</v>
      </c>
      <c r="AD166" s="9">
        <f t="shared" si="132"/>
        <v>0</v>
      </c>
      <c r="AE166" s="9">
        <f t="shared" si="133"/>
        <v>0</v>
      </c>
      <c r="AF166" s="10">
        <f t="shared" si="134"/>
        <v>90</v>
      </c>
      <c r="AG166" s="8">
        <f t="shared" si="135"/>
        <v>0</v>
      </c>
      <c r="AH166" s="9">
        <f t="shared" si="136"/>
        <v>0</v>
      </c>
      <c r="AI166" s="11"/>
      <c r="AJ166" s="16"/>
      <c r="AK166" s="77"/>
      <c r="AL166" s="78"/>
      <c r="AM166" s="5"/>
      <c r="AN166" s="3"/>
      <c r="AO166" s="6"/>
      <c r="AP166" s="10"/>
      <c r="AQ166" s="7"/>
      <c r="AR166" s="10"/>
      <c r="AS166" s="17"/>
    </row>
    <row r="167" spans="1:45" ht="15">
      <c r="A167" s="11" t="s">
        <v>45</v>
      </c>
      <c r="B167" s="12" t="s">
        <v>46</v>
      </c>
      <c r="C167" s="13">
        <v>13</v>
      </c>
      <c r="D167" s="14">
        <v>2</v>
      </c>
      <c r="E167" s="15" t="s">
        <v>48</v>
      </c>
      <c r="F167" s="13"/>
      <c r="G167" s="16">
        <f t="shared" si="137"/>
        <v>110.5</v>
      </c>
      <c r="H167" s="16">
        <f t="shared" si="137"/>
        <v>110.5</v>
      </c>
      <c r="I167" s="1">
        <f t="shared" si="121"/>
        <v>110.5</v>
      </c>
      <c r="J167" s="51">
        <v>40</v>
      </c>
      <c r="K167" s="51">
        <v>40</v>
      </c>
      <c r="L167" s="14">
        <f t="shared" si="119"/>
        <v>40</v>
      </c>
      <c r="M167" s="52">
        <v>0</v>
      </c>
      <c r="N167" s="53">
        <v>0</v>
      </c>
      <c r="O167" s="53">
        <v>90</v>
      </c>
      <c r="P167" s="53">
        <v>0</v>
      </c>
      <c r="Q167" s="16"/>
      <c r="R167" s="54"/>
      <c r="S167" s="2">
        <f t="shared" si="122"/>
        <v>0</v>
      </c>
      <c r="T167" s="2">
        <f t="shared" si="123"/>
        <v>0</v>
      </c>
      <c r="U167" s="2">
        <f t="shared" si="124"/>
        <v>1</v>
      </c>
      <c r="V167" s="3">
        <f t="shared" si="125"/>
        <v>90</v>
      </c>
      <c r="W167" s="4">
        <f t="shared" si="126"/>
        <v>90</v>
      </c>
      <c r="X167" s="5">
        <f t="shared" si="114"/>
        <v>270</v>
      </c>
      <c r="Y167" s="3">
        <f t="shared" si="127"/>
        <v>180</v>
      </c>
      <c r="Z167" s="6">
        <f t="shared" si="128"/>
        <v>0</v>
      </c>
      <c r="AA167" s="7">
        <f t="shared" si="129"/>
        <v>89.99999999999999</v>
      </c>
      <c r="AB167" s="8">
        <f t="shared" si="130"/>
        <v>89.99999999999999</v>
      </c>
      <c r="AC167" s="9">
        <f t="shared" si="131"/>
        <v>2.833020276704623E-16</v>
      </c>
      <c r="AD167" s="9">
        <f t="shared" si="132"/>
        <v>1</v>
      </c>
      <c r="AE167" s="9">
        <f t="shared" si="133"/>
        <v>0</v>
      </c>
      <c r="AF167" s="10">
        <f t="shared" si="134"/>
        <v>270</v>
      </c>
      <c r="AG167" s="8">
        <f t="shared" si="135"/>
        <v>0</v>
      </c>
      <c r="AH167" s="9">
        <f t="shared" si="136"/>
        <v>0</v>
      </c>
      <c r="AI167" s="11"/>
      <c r="AJ167" s="16"/>
      <c r="AK167" s="77"/>
      <c r="AL167" s="78"/>
      <c r="AM167" s="5"/>
      <c r="AN167" s="3"/>
      <c r="AO167" s="6"/>
      <c r="AP167" s="10"/>
      <c r="AQ167" s="7"/>
      <c r="AR167" s="10"/>
      <c r="AS167" s="17"/>
    </row>
    <row r="168" spans="1:45" ht="15">
      <c r="A168" s="11" t="s">
        <v>45</v>
      </c>
      <c r="B168" s="12" t="s">
        <v>46</v>
      </c>
      <c r="C168" s="13">
        <v>13</v>
      </c>
      <c r="D168" s="14">
        <v>2</v>
      </c>
      <c r="E168" s="15" t="s">
        <v>48</v>
      </c>
      <c r="F168" s="13"/>
      <c r="G168" s="16">
        <f t="shared" si="137"/>
        <v>110.72</v>
      </c>
      <c r="H168" s="16">
        <f t="shared" si="137"/>
        <v>110.72</v>
      </c>
      <c r="I168" s="1">
        <f t="shared" si="121"/>
        <v>110.72</v>
      </c>
      <c r="J168" s="51">
        <v>62</v>
      </c>
      <c r="K168" s="51">
        <v>62</v>
      </c>
      <c r="L168" s="14">
        <f t="shared" si="119"/>
        <v>62</v>
      </c>
      <c r="M168" s="52">
        <v>0</v>
      </c>
      <c r="N168" s="53">
        <v>0</v>
      </c>
      <c r="O168" s="53">
        <v>90</v>
      </c>
      <c r="P168" s="53">
        <v>0</v>
      </c>
      <c r="Q168" s="16"/>
      <c r="R168" s="54"/>
      <c r="S168" s="2">
        <f t="shared" si="122"/>
        <v>0</v>
      </c>
      <c r="T168" s="2">
        <f t="shared" si="123"/>
        <v>0</v>
      </c>
      <c r="U168" s="2">
        <f t="shared" si="124"/>
        <v>1</v>
      </c>
      <c r="V168" s="3">
        <f t="shared" si="125"/>
        <v>90</v>
      </c>
      <c r="W168" s="4">
        <f t="shared" si="126"/>
        <v>90</v>
      </c>
      <c r="X168" s="5">
        <f t="shared" si="114"/>
        <v>270</v>
      </c>
      <c r="Y168" s="3">
        <f t="shared" si="127"/>
        <v>180</v>
      </c>
      <c r="Z168" s="6">
        <f t="shared" si="128"/>
        <v>0</v>
      </c>
      <c r="AA168" s="7">
        <f t="shared" si="129"/>
        <v>89.99999999999999</v>
      </c>
      <c r="AB168" s="8">
        <f t="shared" si="130"/>
        <v>89.99999999999999</v>
      </c>
      <c r="AC168" s="9">
        <f t="shared" si="131"/>
        <v>2.833020276704623E-16</v>
      </c>
      <c r="AD168" s="9">
        <f t="shared" si="132"/>
        <v>1</v>
      </c>
      <c r="AE168" s="9">
        <f t="shared" si="133"/>
        <v>0</v>
      </c>
      <c r="AF168" s="10">
        <f t="shared" si="134"/>
        <v>270</v>
      </c>
      <c r="AG168" s="8">
        <f t="shared" si="135"/>
        <v>0</v>
      </c>
      <c r="AH168" s="9">
        <f t="shared" si="136"/>
        <v>0</v>
      </c>
      <c r="AI168" s="11"/>
      <c r="AJ168" s="16"/>
      <c r="AK168" s="77"/>
      <c r="AL168" s="78"/>
      <c r="AM168" s="5"/>
      <c r="AN168" s="3"/>
      <c r="AO168" s="6"/>
      <c r="AP168" s="10"/>
      <c r="AQ168" s="7"/>
      <c r="AR168" s="10"/>
      <c r="AS168" s="17"/>
    </row>
    <row r="169" spans="1:45" ht="15">
      <c r="A169" s="11" t="s">
        <v>45</v>
      </c>
      <c r="B169" s="12" t="s">
        <v>46</v>
      </c>
      <c r="C169" s="13">
        <v>13</v>
      </c>
      <c r="D169" s="14">
        <v>4</v>
      </c>
      <c r="E169" s="15" t="s">
        <v>48</v>
      </c>
      <c r="F169" s="13"/>
      <c r="G169" s="16">
        <f aca="true" t="shared" si="138" ref="G169:H172">111.095+J169/100</f>
        <v>111.145</v>
      </c>
      <c r="H169" s="16">
        <f t="shared" si="138"/>
        <v>111.145</v>
      </c>
      <c r="I169" s="1">
        <f t="shared" si="121"/>
        <v>111.145</v>
      </c>
      <c r="J169" s="51">
        <v>5</v>
      </c>
      <c r="K169" s="51">
        <v>5</v>
      </c>
      <c r="L169" s="14">
        <f t="shared" si="119"/>
        <v>5</v>
      </c>
      <c r="M169" s="52">
        <v>0</v>
      </c>
      <c r="N169" s="53">
        <v>0</v>
      </c>
      <c r="O169" s="53">
        <v>90</v>
      </c>
      <c r="P169" s="53">
        <v>0</v>
      </c>
      <c r="Q169" s="16"/>
      <c r="R169" s="54"/>
      <c r="S169" s="2">
        <f t="shared" si="122"/>
        <v>0</v>
      </c>
      <c r="T169" s="2">
        <f t="shared" si="123"/>
        <v>0</v>
      </c>
      <c r="U169" s="2">
        <f t="shared" si="124"/>
        <v>1</v>
      </c>
      <c r="V169" s="3">
        <f t="shared" si="125"/>
        <v>90</v>
      </c>
      <c r="W169" s="4">
        <f t="shared" si="126"/>
        <v>90</v>
      </c>
      <c r="X169" s="5">
        <f t="shared" si="114"/>
        <v>270</v>
      </c>
      <c r="Y169" s="3">
        <f t="shared" si="127"/>
        <v>180</v>
      </c>
      <c r="Z169" s="6">
        <f t="shared" si="128"/>
        <v>0</v>
      </c>
      <c r="AA169" s="7">
        <f t="shared" si="129"/>
        <v>89.99999999999999</v>
      </c>
      <c r="AB169" s="8">
        <f t="shared" si="130"/>
        <v>89.99999999999999</v>
      </c>
      <c r="AC169" s="9">
        <f t="shared" si="131"/>
        <v>2.833020276704623E-16</v>
      </c>
      <c r="AD169" s="9">
        <f t="shared" si="132"/>
        <v>1</v>
      </c>
      <c r="AE169" s="9">
        <f t="shared" si="133"/>
        <v>0</v>
      </c>
      <c r="AF169" s="10">
        <f t="shared" si="134"/>
        <v>270</v>
      </c>
      <c r="AG169" s="8">
        <f t="shared" si="135"/>
        <v>0</v>
      </c>
      <c r="AH169" s="9">
        <f t="shared" si="136"/>
        <v>0</v>
      </c>
      <c r="AI169" s="11"/>
      <c r="AJ169" s="16"/>
      <c r="AK169" s="77"/>
      <c r="AL169" s="78"/>
      <c r="AM169" s="5"/>
      <c r="AN169" s="3"/>
      <c r="AO169" s="6"/>
      <c r="AP169" s="10"/>
      <c r="AQ169" s="7"/>
      <c r="AR169" s="10"/>
      <c r="AS169" s="17"/>
    </row>
    <row r="170" spans="1:45" ht="15">
      <c r="A170" s="11" t="s">
        <v>45</v>
      </c>
      <c r="B170" s="12" t="s">
        <v>46</v>
      </c>
      <c r="C170" s="13">
        <v>13</v>
      </c>
      <c r="D170" s="14">
        <v>4</v>
      </c>
      <c r="E170" s="15" t="s">
        <v>48</v>
      </c>
      <c r="F170" s="13"/>
      <c r="G170" s="16">
        <f t="shared" si="138"/>
        <v>111.615</v>
      </c>
      <c r="H170" s="16">
        <f t="shared" si="138"/>
        <v>111.615</v>
      </c>
      <c r="I170" s="1">
        <f t="shared" si="121"/>
        <v>111.615</v>
      </c>
      <c r="J170" s="51">
        <v>52</v>
      </c>
      <c r="K170" s="51">
        <v>52</v>
      </c>
      <c r="L170" s="14">
        <f t="shared" si="119"/>
        <v>52</v>
      </c>
      <c r="M170" s="52">
        <v>0</v>
      </c>
      <c r="N170" s="53">
        <v>0</v>
      </c>
      <c r="O170" s="53">
        <v>90</v>
      </c>
      <c r="P170" s="53">
        <v>0</v>
      </c>
      <c r="Q170" s="16"/>
      <c r="R170" s="54"/>
      <c r="S170" s="2">
        <f t="shared" si="122"/>
        <v>0</v>
      </c>
      <c r="T170" s="2">
        <f t="shared" si="123"/>
        <v>0</v>
      </c>
      <c r="U170" s="2">
        <f t="shared" si="124"/>
        <v>1</v>
      </c>
      <c r="V170" s="3">
        <f t="shared" si="125"/>
        <v>90</v>
      </c>
      <c r="W170" s="4">
        <f t="shared" si="126"/>
        <v>90</v>
      </c>
      <c r="X170" s="5">
        <f t="shared" si="114"/>
        <v>270</v>
      </c>
      <c r="Y170" s="3">
        <f t="shared" si="127"/>
        <v>180</v>
      </c>
      <c r="Z170" s="6">
        <f t="shared" si="128"/>
        <v>0</v>
      </c>
      <c r="AA170" s="7">
        <f t="shared" si="129"/>
        <v>89.99999999999999</v>
      </c>
      <c r="AB170" s="8">
        <f t="shared" si="130"/>
        <v>89.99999999999999</v>
      </c>
      <c r="AC170" s="9">
        <f t="shared" si="131"/>
        <v>2.833020276704623E-16</v>
      </c>
      <c r="AD170" s="9">
        <f t="shared" si="132"/>
        <v>1</v>
      </c>
      <c r="AE170" s="9">
        <f t="shared" si="133"/>
        <v>0</v>
      </c>
      <c r="AF170" s="10">
        <f t="shared" si="134"/>
        <v>270</v>
      </c>
      <c r="AG170" s="8">
        <f t="shared" si="135"/>
        <v>0</v>
      </c>
      <c r="AH170" s="9">
        <f t="shared" si="136"/>
        <v>0</v>
      </c>
      <c r="AI170" s="11"/>
      <c r="AJ170" s="16"/>
      <c r="AK170" s="77"/>
      <c r="AL170" s="78"/>
      <c r="AM170" s="5"/>
      <c r="AN170" s="3"/>
      <c r="AO170" s="6"/>
      <c r="AP170" s="10"/>
      <c r="AQ170" s="7"/>
      <c r="AR170" s="10"/>
      <c r="AS170" s="17"/>
    </row>
    <row r="171" spans="1:45" ht="15">
      <c r="A171" s="11" t="s">
        <v>45</v>
      </c>
      <c r="B171" s="12" t="s">
        <v>46</v>
      </c>
      <c r="C171" s="13">
        <v>13</v>
      </c>
      <c r="D171" s="14">
        <v>4</v>
      </c>
      <c r="E171" s="15" t="s">
        <v>48</v>
      </c>
      <c r="F171" s="13"/>
      <c r="G171" s="16">
        <f t="shared" si="138"/>
        <v>111.835</v>
      </c>
      <c r="H171" s="16">
        <f t="shared" si="138"/>
        <v>111.835</v>
      </c>
      <c r="I171" s="1">
        <f t="shared" si="121"/>
        <v>111.835</v>
      </c>
      <c r="J171" s="51">
        <v>74</v>
      </c>
      <c r="K171" s="51">
        <v>74</v>
      </c>
      <c r="L171" s="14">
        <f t="shared" si="119"/>
        <v>74</v>
      </c>
      <c r="M171" s="52">
        <v>0</v>
      </c>
      <c r="N171" s="53">
        <v>0</v>
      </c>
      <c r="O171" s="53">
        <v>90</v>
      </c>
      <c r="P171" s="53">
        <v>0</v>
      </c>
      <c r="Q171" s="16"/>
      <c r="R171" s="54"/>
      <c r="S171" s="2">
        <f t="shared" si="122"/>
        <v>0</v>
      </c>
      <c r="T171" s="2">
        <f t="shared" si="123"/>
        <v>0</v>
      </c>
      <c r="U171" s="2">
        <f t="shared" si="124"/>
        <v>1</v>
      </c>
      <c r="V171" s="3">
        <f t="shared" si="125"/>
        <v>90</v>
      </c>
      <c r="W171" s="4">
        <f t="shared" si="126"/>
        <v>90</v>
      </c>
      <c r="X171" s="5">
        <f t="shared" si="114"/>
        <v>270</v>
      </c>
      <c r="Y171" s="3">
        <f t="shared" si="127"/>
        <v>180</v>
      </c>
      <c r="Z171" s="6">
        <f t="shared" si="128"/>
        <v>0</v>
      </c>
      <c r="AA171" s="7">
        <f t="shared" si="129"/>
        <v>89.99999999999999</v>
      </c>
      <c r="AB171" s="8">
        <f t="shared" si="130"/>
        <v>89.99999999999999</v>
      </c>
      <c r="AC171" s="9">
        <f t="shared" si="131"/>
        <v>2.833020276704623E-16</v>
      </c>
      <c r="AD171" s="9">
        <f t="shared" si="132"/>
        <v>1</v>
      </c>
      <c r="AE171" s="9">
        <f t="shared" si="133"/>
        <v>0</v>
      </c>
      <c r="AF171" s="10">
        <f t="shared" si="134"/>
        <v>270</v>
      </c>
      <c r="AG171" s="8">
        <f t="shared" si="135"/>
        <v>0</v>
      </c>
      <c r="AH171" s="9">
        <f t="shared" si="136"/>
        <v>0</v>
      </c>
      <c r="AI171" s="11"/>
      <c r="AJ171" s="16"/>
      <c r="AK171" s="77"/>
      <c r="AL171" s="78"/>
      <c r="AM171" s="5"/>
      <c r="AN171" s="3"/>
      <c r="AO171" s="6"/>
      <c r="AP171" s="10"/>
      <c r="AQ171" s="7"/>
      <c r="AR171" s="10"/>
      <c r="AS171" s="17"/>
    </row>
    <row r="172" spans="1:46" ht="15">
      <c r="A172" s="11" t="s">
        <v>45</v>
      </c>
      <c r="B172" s="12" t="s">
        <v>46</v>
      </c>
      <c r="C172" s="13">
        <v>13</v>
      </c>
      <c r="D172" s="14">
        <v>4</v>
      </c>
      <c r="E172" s="15" t="s">
        <v>48</v>
      </c>
      <c r="F172" s="13"/>
      <c r="G172" s="16">
        <f t="shared" si="138"/>
        <v>112.265</v>
      </c>
      <c r="H172" s="16">
        <f t="shared" si="138"/>
        <v>112.265</v>
      </c>
      <c r="I172" s="1">
        <f t="shared" si="121"/>
        <v>112.265</v>
      </c>
      <c r="J172" s="51">
        <v>117</v>
      </c>
      <c r="K172" s="51">
        <v>117</v>
      </c>
      <c r="L172" s="14">
        <f t="shared" si="119"/>
        <v>117</v>
      </c>
      <c r="M172" s="52">
        <v>180</v>
      </c>
      <c r="N172" s="53">
        <v>5</v>
      </c>
      <c r="O172" s="53">
        <v>90</v>
      </c>
      <c r="P172" s="53">
        <v>10</v>
      </c>
      <c r="Q172" s="16"/>
      <c r="R172" s="54"/>
      <c r="S172" s="2">
        <f t="shared" si="122"/>
        <v>-0.08583165117743126</v>
      </c>
      <c r="T172" s="2">
        <f t="shared" si="123"/>
        <v>0.17298739392508944</v>
      </c>
      <c r="U172" s="2">
        <f t="shared" si="124"/>
        <v>-0.9810602621904069</v>
      </c>
      <c r="V172" s="3">
        <f t="shared" si="125"/>
        <v>116.3893599088931</v>
      </c>
      <c r="W172" s="4">
        <f t="shared" si="126"/>
        <v>-78.86433605880526</v>
      </c>
      <c r="X172" s="5">
        <f t="shared" si="114"/>
        <v>116.3893599088931</v>
      </c>
      <c r="Y172" s="3">
        <f t="shared" si="127"/>
        <v>26.3893599088931</v>
      </c>
      <c r="Z172" s="6">
        <f t="shared" si="128"/>
        <v>11.135663941194736</v>
      </c>
      <c r="AA172" s="7">
        <f t="shared" si="129"/>
        <v>64.04173396327145</v>
      </c>
      <c r="AB172" s="8">
        <f t="shared" si="130"/>
        <v>64.04173396327145</v>
      </c>
      <c r="AC172" s="9">
        <f t="shared" si="131"/>
        <v>0.43771635340464754</v>
      </c>
      <c r="AD172" s="9">
        <f t="shared" si="132"/>
        <v>0.882185187109312</v>
      </c>
      <c r="AE172" s="9">
        <f t="shared" si="133"/>
        <v>0.17364817766693041</v>
      </c>
      <c r="AF172" s="10">
        <f t="shared" si="134"/>
        <v>89.99999999999997</v>
      </c>
      <c r="AG172" s="8">
        <f t="shared" si="135"/>
        <v>10.000000000000005</v>
      </c>
      <c r="AH172" s="9">
        <f t="shared" si="136"/>
        <v>2.3153297297785206E-05</v>
      </c>
      <c r="AI172" s="11"/>
      <c r="AJ172" s="16"/>
      <c r="AK172" s="77"/>
      <c r="AL172" s="78"/>
      <c r="AM172" s="5"/>
      <c r="AN172" s="3"/>
      <c r="AO172" s="6"/>
      <c r="AP172" s="10"/>
      <c r="AQ172" s="7"/>
      <c r="AR172" s="10"/>
      <c r="AS172" s="17"/>
      <c r="AT172" s="18" t="s">
        <v>59</v>
      </c>
    </row>
    <row r="173" spans="1:45" ht="15">
      <c r="A173" s="11" t="s">
        <v>45</v>
      </c>
      <c r="B173" s="12" t="s">
        <v>46</v>
      </c>
      <c r="C173" s="13">
        <v>13</v>
      </c>
      <c r="D173" s="14">
        <v>5</v>
      </c>
      <c r="E173" s="15" t="s">
        <v>48</v>
      </c>
      <c r="F173" s="13"/>
      <c r="G173" s="16">
        <f aca="true" t="shared" si="139" ref="G173:H175">112.5+J173/100</f>
        <v>112.73</v>
      </c>
      <c r="H173" s="16">
        <f t="shared" si="139"/>
        <v>112.73</v>
      </c>
      <c r="I173" s="1">
        <f t="shared" si="121"/>
        <v>112.73</v>
      </c>
      <c r="J173" s="51">
        <v>23</v>
      </c>
      <c r="K173" s="51">
        <v>23</v>
      </c>
      <c r="L173" s="14">
        <f t="shared" si="119"/>
        <v>23</v>
      </c>
      <c r="M173" s="52">
        <v>0</v>
      </c>
      <c r="N173" s="53">
        <v>0</v>
      </c>
      <c r="O173" s="53">
        <v>90</v>
      </c>
      <c r="P173" s="53">
        <v>0</v>
      </c>
      <c r="Q173" s="16"/>
      <c r="R173" s="54"/>
      <c r="S173" s="2">
        <f t="shared" si="122"/>
        <v>0</v>
      </c>
      <c r="T173" s="2">
        <f t="shared" si="123"/>
        <v>0</v>
      </c>
      <c r="U173" s="2">
        <f t="shared" si="124"/>
        <v>1</v>
      </c>
      <c r="V173" s="3">
        <f t="shared" si="125"/>
        <v>90</v>
      </c>
      <c r="W173" s="4">
        <f t="shared" si="126"/>
        <v>90</v>
      </c>
      <c r="X173" s="5">
        <f t="shared" si="114"/>
        <v>270</v>
      </c>
      <c r="Y173" s="3">
        <f t="shared" si="127"/>
        <v>180</v>
      </c>
      <c r="Z173" s="6">
        <f t="shared" si="128"/>
        <v>0</v>
      </c>
      <c r="AA173" s="7">
        <f t="shared" si="129"/>
        <v>89.99999999999999</v>
      </c>
      <c r="AB173" s="8">
        <f t="shared" si="130"/>
        <v>89.99999999999999</v>
      </c>
      <c r="AC173" s="9">
        <f t="shared" si="131"/>
        <v>2.833020276704623E-16</v>
      </c>
      <c r="AD173" s="9">
        <f t="shared" si="132"/>
        <v>1</v>
      </c>
      <c r="AE173" s="9">
        <f t="shared" si="133"/>
        <v>0</v>
      </c>
      <c r="AF173" s="10">
        <f t="shared" si="134"/>
        <v>270</v>
      </c>
      <c r="AG173" s="8">
        <f t="shared" si="135"/>
        <v>0</v>
      </c>
      <c r="AH173" s="9">
        <f t="shared" si="136"/>
        <v>0</v>
      </c>
      <c r="AI173" s="11"/>
      <c r="AJ173" s="16"/>
      <c r="AK173" s="77"/>
      <c r="AL173" s="78"/>
      <c r="AM173" s="5"/>
      <c r="AN173" s="3"/>
      <c r="AO173" s="6"/>
      <c r="AP173" s="10"/>
      <c r="AQ173" s="7"/>
      <c r="AR173" s="10"/>
      <c r="AS173" s="17"/>
    </row>
    <row r="174" spans="1:45" ht="15">
      <c r="A174" s="11" t="s">
        <v>45</v>
      </c>
      <c r="B174" s="12" t="s">
        <v>46</v>
      </c>
      <c r="C174" s="13">
        <v>13</v>
      </c>
      <c r="D174" s="14">
        <v>5</v>
      </c>
      <c r="E174" s="15" t="s">
        <v>48</v>
      </c>
      <c r="F174" s="13"/>
      <c r="G174" s="16">
        <f t="shared" si="139"/>
        <v>112.83</v>
      </c>
      <c r="H174" s="16">
        <f t="shared" si="139"/>
        <v>112.83</v>
      </c>
      <c r="I174" s="1">
        <f t="shared" si="121"/>
        <v>112.83</v>
      </c>
      <c r="J174" s="51">
        <v>33</v>
      </c>
      <c r="K174" s="51">
        <v>33</v>
      </c>
      <c r="L174" s="14">
        <f t="shared" si="119"/>
        <v>33</v>
      </c>
      <c r="M174" s="52">
        <v>0</v>
      </c>
      <c r="N174" s="53">
        <v>6</v>
      </c>
      <c r="O174" s="53">
        <v>90</v>
      </c>
      <c r="P174" s="53">
        <v>0</v>
      </c>
      <c r="Q174" s="16"/>
      <c r="R174" s="54"/>
      <c r="S174" s="2">
        <f t="shared" si="122"/>
        <v>-0.10452846326765346</v>
      </c>
      <c r="T174" s="2">
        <f t="shared" si="123"/>
        <v>6.403144263316904E-18</v>
      </c>
      <c r="U174" s="2">
        <f t="shared" si="124"/>
        <v>0.9945218953682733</v>
      </c>
      <c r="V174" s="3">
        <f t="shared" si="125"/>
        <v>180</v>
      </c>
      <c r="W174" s="4">
        <f t="shared" si="126"/>
        <v>83.99999999999999</v>
      </c>
      <c r="X174" s="5">
        <f t="shared" si="114"/>
        <v>0</v>
      </c>
      <c r="Y174" s="3">
        <f t="shared" si="127"/>
        <v>270</v>
      </c>
      <c r="Z174" s="6">
        <f t="shared" si="128"/>
        <v>6.000000000000014</v>
      </c>
      <c r="AA174" s="7">
        <f t="shared" si="129"/>
        <v>0</v>
      </c>
      <c r="AB174" s="8">
        <f t="shared" si="130"/>
        <v>0</v>
      </c>
      <c r="AC174" s="9">
        <f t="shared" si="131"/>
        <v>1</v>
      </c>
      <c r="AD174" s="9">
        <f t="shared" si="132"/>
        <v>0</v>
      </c>
      <c r="AE174" s="9">
        <f t="shared" si="133"/>
        <v>0</v>
      </c>
      <c r="AF174" s="10">
        <f t="shared" si="134"/>
        <v>270</v>
      </c>
      <c r="AG174" s="8">
        <f t="shared" si="135"/>
        <v>0</v>
      </c>
      <c r="AH174" s="9">
        <f t="shared" si="136"/>
        <v>0</v>
      </c>
      <c r="AI174" s="11"/>
      <c r="AJ174" s="16"/>
      <c r="AK174" s="77"/>
      <c r="AL174" s="78"/>
      <c r="AM174" s="5"/>
      <c r="AN174" s="3"/>
      <c r="AO174" s="6"/>
      <c r="AP174" s="10"/>
      <c r="AQ174" s="7"/>
      <c r="AR174" s="10"/>
      <c r="AS174" s="17"/>
    </row>
    <row r="175" spans="1:45" ht="15">
      <c r="A175" s="11" t="s">
        <v>45</v>
      </c>
      <c r="B175" s="12" t="s">
        <v>46</v>
      </c>
      <c r="C175" s="13">
        <v>13</v>
      </c>
      <c r="D175" s="14">
        <v>5</v>
      </c>
      <c r="E175" s="15" t="s">
        <v>48</v>
      </c>
      <c r="F175" s="13"/>
      <c r="G175" s="16">
        <f t="shared" si="139"/>
        <v>112.96</v>
      </c>
      <c r="H175" s="16">
        <f t="shared" si="139"/>
        <v>112.96</v>
      </c>
      <c r="I175" s="1">
        <f t="shared" si="121"/>
        <v>112.96</v>
      </c>
      <c r="J175" s="51">
        <v>46</v>
      </c>
      <c r="K175" s="51">
        <v>46</v>
      </c>
      <c r="L175" s="14">
        <f t="shared" si="119"/>
        <v>46</v>
      </c>
      <c r="M175" s="52">
        <v>0</v>
      </c>
      <c r="N175" s="53">
        <v>10</v>
      </c>
      <c r="O175" s="53">
        <v>90</v>
      </c>
      <c r="P175" s="53">
        <v>0</v>
      </c>
      <c r="Q175" s="16"/>
      <c r="R175" s="54"/>
      <c r="S175" s="2">
        <f t="shared" si="122"/>
        <v>-0.17364817766693033</v>
      </c>
      <c r="T175" s="2">
        <f t="shared" si="123"/>
        <v>1.0637239828316862E-17</v>
      </c>
      <c r="U175" s="2">
        <f t="shared" si="124"/>
        <v>0.984807753012208</v>
      </c>
      <c r="V175" s="3">
        <f t="shared" si="125"/>
        <v>180</v>
      </c>
      <c r="W175" s="4">
        <f t="shared" si="126"/>
        <v>79.99999999999999</v>
      </c>
      <c r="X175" s="5">
        <f aca="true" t="shared" si="140" ref="X175:X180">IF(U175&lt;0,V175,IF(V175+180&gt;=360,V175-180,V175+180))</f>
        <v>0</v>
      </c>
      <c r="Y175" s="3">
        <f t="shared" si="127"/>
        <v>270</v>
      </c>
      <c r="Z175" s="6">
        <f t="shared" si="128"/>
        <v>10.000000000000014</v>
      </c>
      <c r="AA175" s="7">
        <f t="shared" si="129"/>
        <v>0</v>
      </c>
      <c r="AB175" s="8">
        <f t="shared" si="130"/>
        <v>0</v>
      </c>
      <c r="AC175" s="9">
        <f t="shared" si="131"/>
        <v>1</v>
      </c>
      <c r="AD175" s="9">
        <f t="shared" si="132"/>
        <v>0</v>
      </c>
      <c r="AE175" s="9">
        <f t="shared" si="133"/>
        <v>0</v>
      </c>
      <c r="AF175" s="10">
        <f t="shared" si="134"/>
        <v>270</v>
      </c>
      <c r="AG175" s="8">
        <f t="shared" si="135"/>
        <v>0</v>
      </c>
      <c r="AH175" s="9">
        <f t="shared" si="136"/>
        <v>0</v>
      </c>
      <c r="AI175" s="11"/>
      <c r="AJ175" s="16"/>
      <c r="AK175" s="77"/>
      <c r="AL175" s="78"/>
      <c r="AM175" s="5"/>
      <c r="AN175" s="3"/>
      <c r="AO175" s="6"/>
      <c r="AP175" s="10"/>
      <c r="AQ175" s="7"/>
      <c r="AR175" s="10"/>
      <c r="AS175" s="17"/>
    </row>
    <row r="176" spans="1:45" ht="15">
      <c r="A176" s="11" t="s">
        <v>45</v>
      </c>
      <c r="B176" s="13" t="s">
        <v>46</v>
      </c>
      <c r="C176" s="13">
        <v>13</v>
      </c>
      <c r="D176" s="14">
        <v>6</v>
      </c>
      <c r="E176" s="15" t="s">
        <v>48</v>
      </c>
      <c r="F176" s="13"/>
      <c r="G176" s="16">
        <f aca="true" t="shared" si="141" ref="G176:H178">113.52+J176/100</f>
        <v>114.16</v>
      </c>
      <c r="H176" s="16">
        <f t="shared" si="141"/>
        <v>114.16</v>
      </c>
      <c r="I176" s="1">
        <f t="shared" si="121"/>
        <v>114.16</v>
      </c>
      <c r="J176" s="51">
        <v>64</v>
      </c>
      <c r="K176" s="51">
        <v>64</v>
      </c>
      <c r="L176" s="14">
        <f t="shared" si="119"/>
        <v>64</v>
      </c>
      <c r="M176" s="52">
        <v>0</v>
      </c>
      <c r="N176" s="53">
        <v>0</v>
      </c>
      <c r="O176" s="53">
        <v>90</v>
      </c>
      <c r="P176" s="53">
        <v>0</v>
      </c>
      <c r="Q176" s="16"/>
      <c r="R176" s="54"/>
      <c r="S176" s="2">
        <f t="shared" si="122"/>
        <v>0</v>
      </c>
      <c r="T176" s="2">
        <f t="shared" si="123"/>
        <v>0</v>
      </c>
      <c r="U176" s="2">
        <f t="shared" si="124"/>
        <v>1</v>
      </c>
      <c r="V176" s="3">
        <f t="shared" si="125"/>
        <v>90</v>
      </c>
      <c r="W176" s="4">
        <f t="shared" si="126"/>
        <v>90</v>
      </c>
      <c r="X176" s="5">
        <f t="shared" si="140"/>
        <v>270</v>
      </c>
      <c r="Y176" s="3">
        <f t="shared" si="127"/>
        <v>180</v>
      </c>
      <c r="Z176" s="6">
        <f t="shared" si="128"/>
        <v>0</v>
      </c>
      <c r="AA176" s="7">
        <f t="shared" si="129"/>
        <v>89.99999999999999</v>
      </c>
      <c r="AB176" s="8">
        <f t="shared" si="130"/>
        <v>89.99999999999999</v>
      </c>
      <c r="AC176" s="9">
        <f t="shared" si="131"/>
        <v>2.833020276704623E-16</v>
      </c>
      <c r="AD176" s="9">
        <f t="shared" si="132"/>
        <v>1</v>
      </c>
      <c r="AE176" s="9">
        <f t="shared" si="133"/>
        <v>0</v>
      </c>
      <c r="AF176" s="10">
        <f t="shared" si="134"/>
        <v>270</v>
      </c>
      <c r="AG176" s="8">
        <f t="shared" si="135"/>
        <v>0</v>
      </c>
      <c r="AH176" s="9">
        <f t="shared" si="136"/>
        <v>0</v>
      </c>
      <c r="AI176" s="11"/>
      <c r="AJ176" s="16"/>
      <c r="AK176" s="77"/>
      <c r="AL176" s="78"/>
      <c r="AM176" s="5"/>
      <c r="AN176" s="3"/>
      <c r="AO176" s="6"/>
      <c r="AP176" s="10"/>
      <c r="AQ176" s="7"/>
      <c r="AR176" s="10"/>
      <c r="AS176" s="17"/>
    </row>
    <row r="177" spans="1:45" ht="15">
      <c r="A177" s="11" t="s">
        <v>45</v>
      </c>
      <c r="B177" s="12" t="s">
        <v>46</v>
      </c>
      <c r="C177" s="13">
        <v>13</v>
      </c>
      <c r="D177" s="14">
        <v>6</v>
      </c>
      <c r="E177" s="15" t="s">
        <v>48</v>
      </c>
      <c r="F177" s="13"/>
      <c r="G177" s="16">
        <f t="shared" si="141"/>
        <v>114.36</v>
      </c>
      <c r="H177" s="16">
        <f t="shared" si="141"/>
        <v>114.36</v>
      </c>
      <c r="I177" s="1">
        <f t="shared" si="121"/>
        <v>114.36</v>
      </c>
      <c r="J177" s="51">
        <v>84</v>
      </c>
      <c r="K177" s="51">
        <v>84</v>
      </c>
      <c r="L177" s="14">
        <f t="shared" si="119"/>
        <v>84</v>
      </c>
      <c r="M177" s="52">
        <v>180</v>
      </c>
      <c r="N177" s="53">
        <v>6</v>
      </c>
      <c r="O177" s="53">
        <v>90</v>
      </c>
      <c r="P177" s="53">
        <v>14</v>
      </c>
      <c r="Q177" s="16"/>
      <c r="R177" s="54"/>
      <c r="S177" s="2">
        <f t="shared" si="122"/>
        <v>-0.1014235211828016</v>
      </c>
      <c r="T177" s="2">
        <f t="shared" si="123"/>
        <v>0.2405966221428671</v>
      </c>
      <c r="U177" s="2">
        <f t="shared" si="124"/>
        <v>-0.9649803447637393</v>
      </c>
      <c r="V177" s="3">
        <f t="shared" si="125"/>
        <v>112.85785871020288</v>
      </c>
      <c r="W177" s="4">
        <f t="shared" si="126"/>
        <v>-74.85967119679061</v>
      </c>
      <c r="X177" s="5">
        <f t="shared" si="140"/>
        <v>112.85785871020288</v>
      </c>
      <c r="Y177" s="3">
        <f t="shared" si="127"/>
        <v>22.857858710202876</v>
      </c>
      <c r="Z177" s="6">
        <f t="shared" si="128"/>
        <v>15.140328803209385</v>
      </c>
      <c r="AA177" s="7">
        <f t="shared" si="129"/>
        <v>67.85772468938491</v>
      </c>
      <c r="AB177" s="8">
        <f t="shared" si="130"/>
        <v>67.85772468938491</v>
      </c>
      <c r="AC177" s="9">
        <f t="shared" si="131"/>
        <v>0.37690779366717203</v>
      </c>
      <c r="AD177" s="9">
        <f t="shared" si="132"/>
        <v>0.8940997212293537</v>
      </c>
      <c r="AE177" s="9">
        <f t="shared" si="133"/>
        <v>0.24192189559966765</v>
      </c>
      <c r="AF177" s="10">
        <f t="shared" si="134"/>
        <v>90.00000000000001</v>
      </c>
      <c r="AG177" s="8">
        <f t="shared" si="135"/>
        <v>13.999999999999995</v>
      </c>
      <c r="AH177" s="9">
        <f t="shared" si="136"/>
        <v>2.7775418231880136E-05</v>
      </c>
      <c r="AI177" s="11"/>
      <c r="AJ177" s="16"/>
      <c r="AK177" s="77"/>
      <c r="AL177" s="78"/>
      <c r="AM177" s="5"/>
      <c r="AN177" s="3"/>
      <c r="AO177" s="6"/>
      <c r="AP177" s="10"/>
      <c r="AQ177" s="7"/>
      <c r="AR177" s="10"/>
      <c r="AS177" s="17"/>
    </row>
    <row r="178" spans="1:45" ht="15">
      <c r="A178" s="11" t="s">
        <v>45</v>
      </c>
      <c r="B178" s="12" t="s">
        <v>46</v>
      </c>
      <c r="C178" s="13">
        <v>13</v>
      </c>
      <c r="D178" s="14">
        <v>6</v>
      </c>
      <c r="E178" s="15" t="s">
        <v>48</v>
      </c>
      <c r="F178" s="13"/>
      <c r="G178" s="16">
        <f t="shared" si="141"/>
        <v>114.61999999999999</v>
      </c>
      <c r="H178" s="16">
        <f t="shared" si="141"/>
        <v>114.61999999999999</v>
      </c>
      <c r="I178" s="1">
        <f t="shared" si="121"/>
        <v>114.61999999999999</v>
      </c>
      <c r="J178" s="51">
        <v>110</v>
      </c>
      <c r="K178" s="51">
        <v>110</v>
      </c>
      <c r="L178" s="14">
        <f t="shared" si="119"/>
        <v>110</v>
      </c>
      <c r="M178" s="52">
        <v>0</v>
      </c>
      <c r="N178" s="53">
        <v>25</v>
      </c>
      <c r="O178" s="53">
        <v>270</v>
      </c>
      <c r="P178" s="53">
        <v>30</v>
      </c>
      <c r="Q178" s="16"/>
      <c r="R178" s="54"/>
      <c r="S178" s="2">
        <f t="shared" si="122"/>
        <v>0.36599815077066683</v>
      </c>
      <c r="T178" s="2">
        <f t="shared" si="123"/>
        <v>-0.45315389351832497</v>
      </c>
      <c r="U178" s="2">
        <f t="shared" si="124"/>
        <v>-0.7848855672213958</v>
      </c>
      <c r="V178" s="3">
        <f t="shared" si="125"/>
        <v>308.92671998983604</v>
      </c>
      <c r="W178" s="4">
        <f t="shared" si="126"/>
        <v>-53.419302931264454</v>
      </c>
      <c r="X178" s="5">
        <f t="shared" si="140"/>
        <v>308.92671998983604</v>
      </c>
      <c r="Y178" s="3">
        <f t="shared" si="127"/>
        <v>218.92671998983604</v>
      </c>
      <c r="Z178" s="6">
        <f t="shared" si="128"/>
        <v>36.580697068735546</v>
      </c>
      <c r="AA178" s="7">
        <f t="shared" si="129"/>
        <v>57.03366193073644</v>
      </c>
      <c r="AB178" s="8">
        <f t="shared" si="130"/>
        <v>57.03366193073644</v>
      </c>
      <c r="AC178" s="9">
        <f t="shared" si="131"/>
        <v>0.5441462124234565</v>
      </c>
      <c r="AD178" s="9">
        <f t="shared" si="132"/>
        <v>0.6737246466511423</v>
      </c>
      <c r="AE178" s="9">
        <f t="shared" si="133"/>
        <v>0.49999999999999994</v>
      </c>
      <c r="AF178" s="10">
        <f t="shared" si="134"/>
        <v>270</v>
      </c>
      <c r="AG178" s="8">
        <f t="shared" si="135"/>
        <v>29.999999999999996</v>
      </c>
      <c r="AH178" s="9">
        <f t="shared" si="136"/>
        <v>8.287590983359136E-05</v>
      </c>
      <c r="AI178" s="11"/>
      <c r="AJ178" s="16"/>
      <c r="AK178" s="77"/>
      <c r="AL178" s="78"/>
      <c r="AM178" s="5"/>
      <c r="AN178" s="3"/>
      <c r="AO178" s="6"/>
      <c r="AP178" s="10"/>
      <c r="AQ178" s="7"/>
      <c r="AR178" s="10"/>
      <c r="AS178" s="17"/>
    </row>
    <row r="179" spans="1:45" ht="15">
      <c r="A179" s="11" t="s">
        <v>45</v>
      </c>
      <c r="B179" s="12" t="s">
        <v>46</v>
      </c>
      <c r="C179" s="13">
        <v>13</v>
      </c>
      <c r="D179" s="14">
        <v>7</v>
      </c>
      <c r="E179" s="15" t="s">
        <v>48</v>
      </c>
      <c r="F179" s="13"/>
      <c r="G179" s="16">
        <f>114.715+J179/100</f>
        <v>114.965</v>
      </c>
      <c r="H179" s="16">
        <f>114.715+K179/100</f>
        <v>114.965</v>
      </c>
      <c r="I179" s="1">
        <f t="shared" si="121"/>
        <v>114.965</v>
      </c>
      <c r="J179" s="51">
        <v>25</v>
      </c>
      <c r="K179" s="51">
        <v>25</v>
      </c>
      <c r="L179" s="14">
        <f t="shared" si="119"/>
        <v>25</v>
      </c>
      <c r="M179" s="52">
        <v>0</v>
      </c>
      <c r="N179" s="53">
        <v>0</v>
      </c>
      <c r="O179" s="53">
        <v>90</v>
      </c>
      <c r="P179" s="53">
        <v>0</v>
      </c>
      <c r="Q179" s="16"/>
      <c r="R179" s="54"/>
      <c r="S179" s="2">
        <f t="shared" si="122"/>
        <v>0</v>
      </c>
      <c r="T179" s="2">
        <f t="shared" si="123"/>
        <v>0</v>
      </c>
      <c r="U179" s="2">
        <f t="shared" si="124"/>
        <v>1</v>
      </c>
      <c r="V179" s="3">
        <f t="shared" si="125"/>
        <v>90</v>
      </c>
      <c r="W179" s="4">
        <f t="shared" si="126"/>
        <v>90</v>
      </c>
      <c r="X179" s="5">
        <f t="shared" si="140"/>
        <v>270</v>
      </c>
      <c r="Y179" s="3">
        <f t="shared" si="127"/>
        <v>180</v>
      </c>
      <c r="Z179" s="6">
        <f t="shared" si="128"/>
        <v>0</v>
      </c>
      <c r="AA179" s="7">
        <f t="shared" si="129"/>
        <v>89.99999999999999</v>
      </c>
      <c r="AB179" s="8">
        <f t="shared" si="130"/>
        <v>89.99999999999999</v>
      </c>
      <c r="AC179" s="9">
        <f t="shared" si="131"/>
        <v>2.833020276704623E-16</v>
      </c>
      <c r="AD179" s="9">
        <f t="shared" si="132"/>
        <v>1</v>
      </c>
      <c r="AE179" s="9">
        <f t="shared" si="133"/>
        <v>0</v>
      </c>
      <c r="AF179" s="10">
        <f t="shared" si="134"/>
        <v>270</v>
      </c>
      <c r="AG179" s="8">
        <f t="shared" si="135"/>
        <v>0</v>
      </c>
      <c r="AH179" s="9">
        <f t="shared" si="136"/>
        <v>0</v>
      </c>
      <c r="AI179" s="11"/>
      <c r="AJ179" s="16"/>
      <c r="AK179" s="77"/>
      <c r="AL179" s="78"/>
      <c r="AM179" s="5"/>
      <c r="AN179" s="3"/>
      <c r="AO179" s="6"/>
      <c r="AP179" s="10"/>
      <c r="AQ179" s="7"/>
      <c r="AR179" s="10"/>
      <c r="AS179" s="17"/>
    </row>
    <row r="180" spans="1:46" ht="15.75" thickBot="1">
      <c r="A180" s="61" t="s">
        <v>45</v>
      </c>
      <c r="B180" s="62" t="s">
        <v>46</v>
      </c>
      <c r="C180" s="63">
        <v>13</v>
      </c>
      <c r="D180" s="64">
        <v>7</v>
      </c>
      <c r="E180" s="65" t="s">
        <v>48</v>
      </c>
      <c r="F180" s="63"/>
      <c r="G180" s="66">
        <f>114.715+J180/100</f>
        <v>115.155</v>
      </c>
      <c r="H180" s="66">
        <f>114.715+K180/100</f>
        <v>115.155</v>
      </c>
      <c r="I180" s="20">
        <f t="shared" si="121"/>
        <v>115.155</v>
      </c>
      <c r="J180" s="67">
        <v>44</v>
      </c>
      <c r="K180" s="67">
        <v>44</v>
      </c>
      <c r="L180" s="64">
        <f t="shared" si="119"/>
        <v>44</v>
      </c>
      <c r="M180" s="68">
        <v>0</v>
      </c>
      <c r="N180" s="69">
        <v>20</v>
      </c>
      <c r="O180" s="69">
        <v>90</v>
      </c>
      <c r="P180" s="69">
        <v>0</v>
      </c>
      <c r="Q180" s="66"/>
      <c r="R180" s="70"/>
      <c r="S180" s="21">
        <f t="shared" si="122"/>
        <v>-0.3420201433256687</v>
      </c>
      <c r="T180" s="21">
        <f t="shared" si="123"/>
        <v>2.095127250715339E-17</v>
      </c>
      <c r="U180" s="21">
        <f t="shared" si="124"/>
        <v>0.9396926207859084</v>
      </c>
      <c r="V180" s="22">
        <f t="shared" si="125"/>
        <v>180</v>
      </c>
      <c r="W180" s="23">
        <f t="shared" si="126"/>
        <v>70</v>
      </c>
      <c r="X180" s="24">
        <f t="shared" si="140"/>
        <v>0</v>
      </c>
      <c r="Y180" s="22">
        <f t="shared" si="127"/>
        <v>270</v>
      </c>
      <c r="Z180" s="25">
        <f t="shared" si="128"/>
        <v>20</v>
      </c>
      <c r="AA180" s="26">
        <f t="shared" si="129"/>
        <v>0</v>
      </c>
      <c r="AB180" s="27">
        <f t="shared" si="130"/>
        <v>0</v>
      </c>
      <c r="AC180" s="28">
        <f t="shared" si="131"/>
        <v>1</v>
      </c>
      <c r="AD180" s="28">
        <f t="shared" si="132"/>
        <v>0</v>
      </c>
      <c r="AE180" s="28">
        <f t="shared" si="133"/>
        <v>0</v>
      </c>
      <c r="AF180" s="29">
        <f t="shared" si="134"/>
        <v>270</v>
      </c>
      <c r="AG180" s="27">
        <f t="shared" si="135"/>
        <v>0</v>
      </c>
      <c r="AH180" s="28">
        <f t="shared" si="136"/>
        <v>0</v>
      </c>
      <c r="AI180" s="61"/>
      <c r="AJ180" s="66"/>
      <c r="AK180" s="79"/>
      <c r="AL180" s="80"/>
      <c r="AM180" s="24"/>
      <c r="AN180" s="22"/>
      <c r="AO180" s="25"/>
      <c r="AP180" s="29"/>
      <c r="AQ180" s="26"/>
      <c r="AR180" s="29"/>
      <c r="AS180" s="71"/>
      <c r="AT180" s="18" t="s">
        <v>58</v>
      </c>
    </row>
    <row r="181" spans="2:16" ht="15">
      <c r="B181" s="18"/>
      <c r="C181" s="18"/>
      <c r="D181" s="18"/>
      <c r="E181" s="18"/>
      <c r="F181" s="18"/>
      <c r="J181" s="18"/>
      <c r="K181" s="18"/>
      <c r="L181" s="18"/>
      <c r="M181" s="18"/>
      <c r="N181" s="18"/>
      <c r="O181" s="18"/>
      <c r="P181" s="18"/>
    </row>
    <row r="182" spans="2:16" ht="15">
      <c r="B182" s="18"/>
      <c r="C182" s="18"/>
      <c r="D182" s="18"/>
      <c r="E182" s="18"/>
      <c r="F182" s="18"/>
      <c r="J182" s="18"/>
      <c r="K182" s="18"/>
      <c r="L182" s="18"/>
      <c r="M182" s="18"/>
      <c r="N182" s="18"/>
      <c r="O182" s="18"/>
      <c r="P182" s="18"/>
    </row>
    <row r="183" spans="2:16" ht="15">
      <c r="B183" s="18"/>
      <c r="C183" s="18"/>
      <c r="D183" s="18"/>
      <c r="E183" s="18"/>
      <c r="F183" s="18"/>
      <c r="J183" s="18"/>
      <c r="K183" s="18"/>
      <c r="L183" s="18"/>
      <c r="M183" s="18"/>
      <c r="N183" s="18"/>
      <c r="O183" s="18"/>
      <c r="P183" s="18"/>
    </row>
    <row r="184" spans="2:16" ht="15">
      <c r="B184" s="18"/>
      <c r="C184" s="18"/>
      <c r="D184" s="18"/>
      <c r="E184" s="18"/>
      <c r="F184" s="18"/>
      <c r="J184" s="18"/>
      <c r="K184" s="18"/>
      <c r="L184" s="18"/>
      <c r="M184" s="18"/>
      <c r="N184" s="18"/>
      <c r="O184" s="18"/>
      <c r="P184" s="18"/>
    </row>
    <row r="185" spans="2:16" ht="15">
      <c r="B185" s="18"/>
      <c r="C185" s="18"/>
      <c r="D185" s="18"/>
      <c r="E185" s="18"/>
      <c r="F185" s="18"/>
      <c r="J185" s="18"/>
      <c r="K185" s="18"/>
      <c r="L185" s="18"/>
      <c r="M185" s="18"/>
      <c r="N185" s="18"/>
      <c r="O185" s="18"/>
      <c r="P185" s="18"/>
    </row>
    <row r="186" spans="2:16" ht="15">
      <c r="B186" s="18"/>
      <c r="C186" s="18"/>
      <c r="D186" s="18"/>
      <c r="E186" s="18"/>
      <c r="F186" s="18"/>
      <c r="J186" s="18"/>
      <c r="K186" s="18"/>
      <c r="L186" s="18"/>
      <c r="M186" s="18"/>
      <c r="N186" s="18"/>
      <c r="O186" s="18"/>
      <c r="P186" s="18"/>
    </row>
  </sheetData>
  <sheetProtection/>
  <mergeCells count="17">
    <mergeCell ref="X1:Z1"/>
    <mergeCell ref="B1:B2"/>
    <mergeCell ref="C1:C2"/>
    <mergeCell ref="D1:D2"/>
    <mergeCell ref="E1:E2"/>
    <mergeCell ref="J1:J2"/>
    <mergeCell ref="K1:K2"/>
    <mergeCell ref="AA1:AH1"/>
    <mergeCell ref="AI1:AJ1"/>
    <mergeCell ref="AK1:AL1"/>
    <mergeCell ref="AM1:AO1"/>
    <mergeCell ref="AP1:AS1"/>
    <mergeCell ref="L1:L2"/>
    <mergeCell ref="M1:N1"/>
    <mergeCell ref="O1:P1"/>
    <mergeCell ref="Q1:R1"/>
    <mergeCell ref="S1:W1"/>
  </mergeCells>
  <dataValidations count="1">
    <dataValidation type="list" allowBlank="1" showInputMessage="1" showErrorMessage="1" sqref="AS3:AS180">
      <formula1>"N,R,SS"</formula1>
    </dataValidation>
  </dataValidations>
  <printOptions/>
  <pageMargins left="0.75" right="0.75" top="1" bottom="1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16"/>
  <sheetViews>
    <sheetView zoomScale="39" zoomScaleNormal="39" zoomScalePageLayoutView="0" workbookViewId="0" topLeftCell="I89">
      <selection activeCell="AK116" sqref="AK116"/>
    </sheetView>
  </sheetViews>
  <sheetFormatPr defaultColWidth="12.50390625" defaultRowHeight="15.75"/>
  <cols>
    <col min="1" max="1" width="6.00390625" style="91" customWidth="1"/>
    <col min="2" max="4" width="3.50390625" style="91" customWidth="1"/>
    <col min="5" max="5" width="27.625" style="91" customWidth="1"/>
    <col min="6" max="6" width="17.375" style="91" customWidth="1"/>
    <col min="7" max="7" width="9.125" style="150" customWidth="1"/>
    <col min="8" max="8" width="10.625" style="150" customWidth="1"/>
    <col min="9" max="9" width="9.125" style="150" customWidth="1"/>
    <col min="10" max="12" width="9.875" style="91" customWidth="1"/>
    <col min="13" max="18" width="7.875" style="91" customWidth="1"/>
    <col min="19" max="34" width="6.875" style="91" customWidth="1"/>
    <col min="35" max="44" width="7.875" style="91" customWidth="1"/>
    <col min="45" max="45" width="9.875" style="91" customWidth="1"/>
    <col min="46" max="46" width="9.00390625" style="91" customWidth="1"/>
    <col min="47" max="16384" width="12.50390625" style="91" customWidth="1"/>
  </cols>
  <sheetData>
    <row r="1" spans="1:45" ht="27" customHeight="1">
      <c r="A1" s="88"/>
      <c r="B1" s="235" t="s">
        <v>0</v>
      </c>
      <c r="C1" s="235" t="s">
        <v>1</v>
      </c>
      <c r="D1" s="237" t="s">
        <v>134</v>
      </c>
      <c r="E1" s="239" t="s">
        <v>3</v>
      </c>
      <c r="F1" s="89" t="s">
        <v>52</v>
      </c>
      <c r="G1" s="90" t="s">
        <v>133</v>
      </c>
      <c r="H1" s="90" t="s">
        <v>5</v>
      </c>
      <c r="I1" s="90" t="s">
        <v>132</v>
      </c>
      <c r="J1" s="241" t="s">
        <v>7</v>
      </c>
      <c r="K1" s="243" t="s">
        <v>8</v>
      </c>
      <c r="L1" s="223" t="s">
        <v>9</v>
      </c>
      <c r="M1" s="225" t="s">
        <v>10</v>
      </c>
      <c r="N1" s="226"/>
      <c r="O1" s="227" t="s">
        <v>11</v>
      </c>
      <c r="P1" s="228"/>
      <c r="Q1" s="227" t="s">
        <v>131</v>
      </c>
      <c r="R1" s="229"/>
      <c r="S1" s="215" t="s">
        <v>13</v>
      </c>
      <c r="T1" s="230"/>
      <c r="U1" s="230"/>
      <c r="V1" s="230"/>
      <c r="W1" s="231"/>
      <c r="X1" s="232" t="s">
        <v>130</v>
      </c>
      <c r="Y1" s="233"/>
      <c r="Z1" s="234"/>
      <c r="AA1" s="215" t="s">
        <v>128</v>
      </c>
      <c r="AB1" s="216"/>
      <c r="AC1" s="216"/>
      <c r="AD1" s="216"/>
      <c r="AE1" s="216"/>
      <c r="AF1" s="216"/>
      <c r="AG1" s="216"/>
      <c r="AH1" s="217"/>
      <c r="AI1" s="218" t="s">
        <v>16</v>
      </c>
      <c r="AJ1" s="219"/>
      <c r="AK1" s="220" t="s">
        <v>17</v>
      </c>
      <c r="AL1" s="221"/>
      <c r="AM1" s="215" t="s">
        <v>129</v>
      </c>
      <c r="AN1" s="216"/>
      <c r="AO1" s="217"/>
      <c r="AP1" s="222" t="s">
        <v>128</v>
      </c>
      <c r="AQ1" s="216"/>
      <c r="AR1" s="216"/>
      <c r="AS1" s="217"/>
    </row>
    <row r="2" spans="1:46" ht="18" customHeight="1">
      <c r="A2" s="92" t="s">
        <v>20</v>
      </c>
      <c r="B2" s="236"/>
      <c r="C2" s="236"/>
      <c r="D2" s="238"/>
      <c r="E2" s="240"/>
      <c r="F2" s="93" t="s">
        <v>53</v>
      </c>
      <c r="G2" s="94" t="s">
        <v>127</v>
      </c>
      <c r="H2" s="94" t="s">
        <v>127</v>
      </c>
      <c r="I2" s="94" t="s">
        <v>127</v>
      </c>
      <c r="J2" s="242"/>
      <c r="K2" s="244"/>
      <c r="L2" s="224"/>
      <c r="M2" s="95" t="s">
        <v>125</v>
      </c>
      <c r="N2" s="96" t="s">
        <v>22</v>
      </c>
      <c r="O2" s="96" t="s">
        <v>125</v>
      </c>
      <c r="P2" s="96" t="s">
        <v>22</v>
      </c>
      <c r="Q2" s="97" t="s">
        <v>117</v>
      </c>
      <c r="R2" s="98" t="s">
        <v>126</v>
      </c>
      <c r="S2" s="95" t="s">
        <v>121</v>
      </c>
      <c r="T2" s="93" t="s">
        <v>120</v>
      </c>
      <c r="U2" s="96" t="s">
        <v>119</v>
      </c>
      <c r="V2" s="93" t="s">
        <v>125</v>
      </c>
      <c r="W2" s="98" t="s">
        <v>22</v>
      </c>
      <c r="X2" s="95" t="s">
        <v>28</v>
      </c>
      <c r="Y2" s="99" t="s">
        <v>124</v>
      </c>
      <c r="Z2" s="98" t="s">
        <v>22</v>
      </c>
      <c r="AA2" s="100" t="s">
        <v>123</v>
      </c>
      <c r="AB2" s="97" t="s">
        <v>122</v>
      </c>
      <c r="AC2" s="97" t="s">
        <v>121</v>
      </c>
      <c r="AD2" s="97" t="s">
        <v>120</v>
      </c>
      <c r="AE2" s="97" t="s">
        <v>119</v>
      </c>
      <c r="AF2" s="97" t="s">
        <v>116</v>
      </c>
      <c r="AG2" s="101" t="s">
        <v>115</v>
      </c>
      <c r="AH2" s="98" t="s">
        <v>114</v>
      </c>
      <c r="AI2" s="95" t="s">
        <v>35</v>
      </c>
      <c r="AJ2" s="98" t="s">
        <v>36</v>
      </c>
      <c r="AK2" s="95" t="s">
        <v>37</v>
      </c>
      <c r="AL2" s="97" t="s">
        <v>38</v>
      </c>
      <c r="AM2" s="95" t="s">
        <v>28</v>
      </c>
      <c r="AN2" s="96" t="s">
        <v>118</v>
      </c>
      <c r="AO2" s="98" t="s">
        <v>22</v>
      </c>
      <c r="AP2" s="99" t="s">
        <v>117</v>
      </c>
      <c r="AQ2" s="97" t="s">
        <v>116</v>
      </c>
      <c r="AR2" s="101" t="s">
        <v>115</v>
      </c>
      <c r="AS2" s="98" t="s">
        <v>114</v>
      </c>
      <c r="AT2" s="103" t="s">
        <v>113</v>
      </c>
    </row>
    <row r="3" spans="1:46" ht="15">
      <c r="A3" s="151" t="s">
        <v>45</v>
      </c>
      <c r="B3" s="152" t="s">
        <v>99</v>
      </c>
      <c r="C3" s="152">
        <v>2</v>
      </c>
      <c r="D3" s="153">
        <v>4</v>
      </c>
      <c r="E3" s="151" t="s">
        <v>108</v>
      </c>
      <c r="F3" s="152" t="s">
        <v>110</v>
      </c>
      <c r="G3" s="154">
        <f aca="true" t="shared" si="0" ref="G3:H10">J3/100+521.225</f>
        <v>522.095</v>
      </c>
      <c r="H3" s="154">
        <f t="shared" si="0"/>
        <v>522.205</v>
      </c>
      <c r="I3" s="109">
        <f aca="true" t="shared" si="1" ref="I3:I34">(G3+H3)/2</f>
        <v>522.1500000000001</v>
      </c>
      <c r="J3" s="155">
        <v>87</v>
      </c>
      <c r="K3" s="156">
        <v>98</v>
      </c>
      <c r="L3" s="153">
        <f aca="true" t="shared" si="2" ref="L3:L34">(+J3+K3)/2</f>
        <v>92.5</v>
      </c>
      <c r="M3" s="151">
        <v>90</v>
      </c>
      <c r="N3" s="152">
        <v>26</v>
      </c>
      <c r="O3" s="152">
        <v>180</v>
      </c>
      <c r="P3" s="152">
        <v>6</v>
      </c>
      <c r="Q3" s="152"/>
      <c r="R3" s="153"/>
      <c r="S3" s="157">
        <f aca="true" t="shared" si="3" ref="S3:S34">COS(N3*PI()/180)*SIN(M3*PI()/180)*(SIN(P3*PI()/180))-(COS(P3*PI()/180)*SIN(O3*PI()/180))*(SIN(N3*PI()/180))</f>
        <v>0.09394956045376805</v>
      </c>
      <c r="T3" s="158">
        <f aca="true" t="shared" si="4" ref="T3:T34">(SIN(N3*PI()/180))*(COS(P3*PI()/180)*COS(O3*PI()/180))-(SIN(P3*PI()/180))*(COS(N3*PI()/180)*COS(M3*PI()/180))</f>
        <v>-0.43596970377943683</v>
      </c>
      <c r="U3" s="158">
        <f aca="true" t="shared" si="5" ref="U3:U34">(COS(N3*PI()/180)*COS(M3*PI()/180))*(COS(P3*PI()/180)*SIN(O3*PI()/180))-(COS(N3*PI()/180)*SIN(M3*PI()/180))*(COS(P3*PI()/180)*COS(O3*PI()/180))</f>
        <v>0.8938703584711671</v>
      </c>
      <c r="V3" s="149">
        <f aca="true" t="shared" si="6" ref="V3:V34">IF(S3=0,IF(T3&gt;=0,90,270),IF(S3&gt;0,IF(T3&gt;=0,ATAN(T3/S3)*180/PI(),ATAN(T3/S3)*180/PI()+360),ATAN(T3/S3)*180/PI()+180))</f>
        <v>282.1610195405715</v>
      </c>
      <c r="W3" s="115">
        <f aca="true" t="shared" si="7" ref="W3:W34">ASIN(U3/SQRT(S3^2+T3^2+U3^2))*180/PI()</f>
        <v>63.48406863583165</v>
      </c>
      <c r="X3" s="159">
        <f aca="true" t="shared" si="8" ref="X3:X34">IF(U3&lt;0,V3,IF(V3+180&gt;=360,V3-180,V3+180))</f>
        <v>102.16101954057149</v>
      </c>
      <c r="Y3" s="149">
        <f aca="true" t="shared" si="9" ref="Y3:Y34">IF(X3-90&lt;0,X3+270,X3-90)</f>
        <v>12.161019540571488</v>
      </c>
      <c r="Z3" s="115">
        <f aca="true" t="shared" si="10" ref="Z3:Z34">IF(U3&lt;0,90+W3,90-W3)</f>
        <v>26.515931364168353</v>
      </c>
      <c r="AA3" s="160">
        <f aca="true" t="shared" si="11" ref="AA3:AA34">IF(-T3&lt;0,180-ACOS(SIN((X3-90)*PI()/180)*U3/SQRT(T3^2+U3^2))*180/PI(),ACOS(SIN((X3-90)*PI()/180)*U3/SQRT(T3^2+U3^2))*180/PI())</f>
        <v>79.08574462642288</v>
      </c>
      <c r="AB3" s="119">
        <f aca="true" t="shared" si="12" ref="AB3:AB34">IF(R3=90,IF(AA3-Q3&lt;0,AA3-Q3+180,AA3-Q3),IF(AA3+Q3&gt;180,AA3+Q3-180,AA3+Q3))</f>
        <v>79.08574462642288</v>
      </c>
      <c r="AC3" s="120">
        <f aca="true" t="shared" si="13" ref="AC3:AC34">COS(AB3*PI()/180)</f>
        <v>0.18933975160949845</v>
      </c>
      <c r="AD3" s="120">
        <f aca="true" t="shared" si="14" ref="AD3:AD34">SIN(AB3*PI()/180)*COS(Z3*PI()/180)</f>
        <v>0.8786246047791301</v>
      </c>
      <c r="AE3" s="120">
        <f aca="true" t="shared" si="15" ref="AE3:AE34">SIN(AB3*PI()/180)*SIN(Z3*PI()/180)</f>
        <v>0.4383711467890774</v>
      </c>
      <c r="AF3" s="121">
        <f aca="true" t="shared" si="16" ref="AF3:AF34">IF(IF(AC3=0,IF(AD3&gt;=0,90,270),IF(AC3&gt;0,IF(AD3&gt;=0,ATAN(AD3/AC3)*180/PI(),ATAN(AD3/AC3)*180/PI()+360),ATAN(AD3/AC3)*180/PI()+180))-(360-Y3)&lt;0,IF(AC3=0,IF(AD3&gt;=0,90,270),IF(AC3&gt;0,IF(AD3&gt;=0,ATAN(AD3/AC3)*180/PI(),ATAN(AD3/AC3)*180/PI()+360),ATAN(AD3/AC3)*180/PI()+180))+Y3,IF(AC3=0,IF(AD3&gt;=0,90,270),IF(AC3&gt;0,IF(AD3&gt;=0,ATAN(AD3/AC3)*180/PI(),ATAN(AD3/AC3)*180/PI()+360),ATAN(AD3/AC3)*180/PI()+180))-(360-Y3))</f>
        <v>90</v>
      </c>
      <c r="AG3" s="119">
        <f aca="true" t="shared" si="17" ref="AG3:AG34">ASIN(AE3/SQRT(AC3^2+AD3^2+AE3^2))*180/PI()</f>
        <v>25.999999999999996</v>
      </c>
      <c r="AH3" s="122">
        <f aca="true" t="shared" si="18" ref="AH3:AH34">SIN(AE3*PI()/180)*SIN(AC3*PI()/180)</f>
        <v>2.5283283369521914E-05</v>
      </c>
      <c r="AI3" s="151">
        <v>83</v>
      </c>
      <c r="AJ3" s="153">
        <v>111</v>
      </c>
      <c r="AK3" s="151">
        <v>58.8</v>
      </c>
      <c r="AL3" s="152">
        <v>-37.2</v>
      </c>
      <c r="AM3" s="159">
        <f aca="true" t="shared" si="19" ref="AM3:AM34">IF(AL3&gt;=0,IF(X3&gt;=AK3,X3-AK3,X3-AK3+360),IF((X3-AK3-180)&lt;0,IF(X3-AK3+180&lt;0,X3-AK3+540,X3-AK3+180),X3-AK3-180))</f>
        <v>223.36101954057148</v>
      </c>
      <c r="AN3" s="149">
        <f aca="true" t="shared" si="20" ref="AN3:AN34">IF(AM3-90&lt;0,AM3+270,AM3-90)</f>
        <v>133.36101954057148</v>
      </c>
      <c r="AO3" s="115">
        <f aca="true" t="shared" si="21" ref="AO3:AO34">Z3</f>
        <v>26.515931364168353</v>
      </c>
      <c r="AP3" s="121"/>
      <c r="AQ3" s="161"/>
      <c r="AR3" s="121"/>
      <c r="AS3" s="162"/>
      <c r="AT3" s="163"/>
    </row>
    <row r="4" spans="1:46" ht="15">
      <c r="A4" s="151" t="s">
        <v>45</v>
      </c>
      <c r="B4" s="152" t="s">
        <v>99</v>
      </c>
      <c r="C4" s="152">
        <v>2</v>
      </c>
      <c r="D4" s="153">
        <v>4</v>
      </c>
      <c r="E4" s="151" t="s">
        <v>108</v>
      </c>
      <c r="F4" s="152"/>
      <c r="G4" s="154">
        <f t="shared" si="0"/>
        <v>522.095</v>
      </c>
      <c r="H4" s="154">
        <f t="shared" si="0"/>
        <v>522.205</v>
      </c>
      <c r="I4" s="109">
        <f t="shared" si="1"/>
        <v>522.1500000000001</v>
      </c>
      <c r="J4" s="155">
        <v>87</v>
      </c>
      <c r="K4" s="156">
        <v>98</v>
      </c>
      <c r="L4" s="153">
        <f t="shared" si="2"/>
        <v>92.5</v>
      </c>
      <c r="M4" s="151">
        <v>90</v>
      </c>
      <c r="N4" s="152">
        <v>23</v>
      </c>
      <c r="O4" s="152">
        <v>0</v>
      </c>
      <c r="P4" s="152">
        <v>12</v>
      </c>
      <c r="Q4" s="152"/>
      <c r="R4" s="153"/>
      <c r="S4" s="157">
        <f t="shared" si="3"/>
        <v>0.19138372048725064</v>
      </c>
      <c r="T4" s="158">
        <f t="shared" si="4"/>
        <v>0.38219271586379544</v>
      </c>
      <c r="U4" s="158">
        <f t="shared" si="5"/>
        <v>-0.9003896138683279</v>
      </c>
      <c r="V4" s="149">
        <f t="shared" si="6"/>
        <v>63.40049560879769</v>
      </c>
      <c r="W4" s="115">
        <f t="shared" si="7"/>
        <v>-64.60536871846512</v>
      </c>
      <c r="X4" s="159">
        <f t="shared" si="8"/>
        <v>63.40049560879769</v>
      </c>
      <c r="Y4" s="149">
        <f t="shared" si="9"/>
        <v>333.4004956087977</v>
      </c>
      <c r="Z4" s="115">
        <f t="shared" si="10"/>
        <v>25.394631281534885</v>
      </c>
      <c r="AA4" s="160">
        <f t="shared" si="11"/>
        <v>114.34042486251123</v>
      </c>
      <c r="AB4" s="119">
        <f t="shared" si="12"/>
        <v>114.34042486251123</v>
      </c>
      <c r="AC4" s="120">
        <f t="shared" si="13"/>
        <v>-0.41215729392905315</v>
      </c>
      <c r="AD4" s="120">
        <f t="shared" si="14"/>
        <v>0.8230768799392794</v>
      </c>
      <c r="AE4" s="120">
        <f t="shared" si="15"/>
        <v>0.39073112848927344</v>
      </c>
      <c r="AF4" s="121">
        <f t="shared" si="16"/>
        <v>90.00000000000003</v>
      </c>
      <c r="AG4" s="119">
        <f t="shared" si="17"/>
        <v>22.999999999999975</v>
      </c>
      <c r="AH4" s="122">
        <f t="shared" si="18"/>
        <v>-4.905560373470298E-05</v>
      </c>
      <c r="AI4" s="151">
        <v>83</v>
      </c>
      <c r="AJ4" s="153">
        <v>111</v>
      </c>
      <c r="AK4" s="151">
        <v>58.8</v>
      </c>
      <c r="AL4" s="152">
        <v>-37.2</v>
      </c>
      <c r="AM4" s="159">
        <f t="shared" si="19"/>
        <v>184.6004956087977</v>
      </c>
      <c r="AN4" s="149">
        <f t="shared" si="20"/>
        <v>94.6004956087977</v>
      </c>
      <c r="AO4" s="115">
        <f t="shared" si="21"/>
        <v>25.394631281534885</v>
      </c>
      <c r="AP4" s="121"/>
      <c r="AQ4" s="161"/>
      <c r="AR4" s="121"/>
      <c r="AS4" s="162"/>
      <c r="AT4" s="163"/>
    </row>
    <row r="5" spans="1:46" ht="15">
      <c r="A5" s="151" t="s">
        <v>45</v>
      </c>
      <c r="B5" s="152" t="s">
        <v>99</v>
      </c>
      <c r="C5" s="152">
        <v>2</v>
      </c>
      <c r="D5" s="153">
        <v>4</v>
      </c>
      <c r="E5" s="151" t="s">
        <v>108</v>
      </c>
      <c r="F5" s="152"/>
      <c r="G5" s="154">
        <f t="shared" si="0"/>
        <v>522.095</v>
      </c>
      <c r="H5" s="154">
        <f t="shared" si="0"/>
        <v>522.205</v>
      </c>
      <c r="I5" s="109">
        <f t="shared" si="1"/>
        <v>522.1500000000001</v>
      </c>
      <c r="J5" s="155">
        <v>87</v>
      </c>
      <c r="K5" s="156">
        <v>98</v>
      </c>
      <c r="L5" s="153">
        <f t="shared" si="2"/>
        <v>92.5</v>
      </c>
      <c r="M5" s="151">
        <v>90</v>
      </c>
      <c r="N5" s="152">
        <v>28</v>
      </c>
      <c r="O5" s="152">
        <v>0</v>
      </c>
      <c r="P5" s="152">
        <v>10</v>
      </c>
      <c r="Q5" s="152"/>
      <c r="R5" s="153"/>
      <c r="S5" s="157">
        <f t="shared" si="3"/>
        <v>0.15332224047535542</v>
      </c>
      <c r="T5" s="158">
        <f t="shared" si="4"/>
        <v>0.46233923485030287</v>
      </c>
      <c r="U5" s="158">
        <f t="shared" si="5"/>
        <v>-0.8695336349509378</v>
      </c>
      <c r="V5" s="149">
        <f t="shared" si="6"/>
        <v>71.65330111111982</v>
      </c>
      <c r="W5" s="115">
        <f t="shared" si="7"/>
        <v>-60.743148307825166</v>
      </c>
      <c r="X5" s="159">
        <f t="shared" si="8"/>
        <v>71.65330111111982</v>
      </c>
      <c r="Y5" s="149">
        <f t="shared" si="9"/>
        <v>341.65330111111984</v>
      </c>
      <c r="Z5" s="115">
        <f t="shared" si="10"/>
        <v>29.256851692174834</v>
      </c>
      <c r="AA5" s="160">
        <f t="shared" si="11"/>
        <v>106.13622470110265</v>
      </c>
      <c r="AB5" s="119">
        <f t="shared" si="12"/>
        <v>106.13622470110265</v>
      </c>
      <c r="AC5" s="120">
        <f t="shared" si="13"/>
        <v>-0.27792204114198465</v>
      </c>
      <c r="AD5" s="120">
        <f t="shared" si="14"/>
        <v>0.8380666982900864</v>
      </c>
      <c r="AE5" s="120">
        <f t="shared" si="15"/>
        <v>0.46947156278589064</v>
      </c>
      <c r="AF5" s="121">
        <f t="shared" si="16"/>
        <v>90</v>
      </c>
      <c r="AG5" s="119">
        <f t="shared" si="17"/>
        <v>27.99999999999999</v>
      </c>
      <c r="AH5" s="122">
        <f t="shared" si="18"/>
        <v>-3.974481264573663E-05</v>
      </c>
      <c r="AI5" s="151">
        <v>83</v>
      </c>
      <c r="AJ5" s="153">
        <v>111</v>
      </c>
      <c r="AK5" s="151">
        <v>58.8</v>
      </c>
      <c r="AL5" s="152">
        <v>-37.2</v>
      </c>
      <c r="AM5" s="159">
        <f t="shared" si="19"/>
        <v>192.85330111111983</v>
      </c>
      <c r="AN5" s="149">
        <f t="shared" si="20"/>
        <v>102.85330111111983</v>
      </c>
      <c r="AO5" s="115">
        <f t="shared" si="21"/>
        <v>29.256851692174834</v>
      </c>
      <c r="AP5" s="121"/>
      <c r="AQ5" s="161"/>
      <c r="AR5" s="121"/>
      <c r="AS5" s="162"/>
      <c r="AT5" s="163"/>
    </row>
    <row r="6" spans="1:46" ht="15">
      <c r="A6" s="151" t="s">
        <v>45</v>
      </c>
      <c r="B6" s="152" t="s">
        <v>99</v>
      </c>
      <c r="C6" s="152">
        <v>2</v>
      </c>
      <c r="D6" s="153">
        <v>4</v>
      </c>
      <c r="E6" s="151" t="s">
        <v>108</v>
      </c>
      <c r="F6" s="152"/>
      <c r="G6" s="154">
        <f t="shared" si="0"/>
        <v>522.095</v>
      </c>
      <c r="H6" s="154">
        <f t="shared" si="0"/>
        <v>522.205</v>
      </c>
      <c r="I6" s="109">
        <f t="shared" si="1"/>
        <v>522.1500000000001</v>
      </c>
      <c r="J6" s="155">
        <v>87</v>
      </c>
      <c r="K6" s="156">
        <v>98</v>
      </c>
      <c r="L6" s="153">
        <f t="shared" si="2"/>
        <v>92.5</v>
      </c>
      <c r="M6" s="151">
        <v>90</v>
      </c>
      <c r="N6" s="152">
        <v>29</v>
      </c>
      <c r="O6" s="152">
        <v>0</v>
      </c>
      <c r="P6" s="152">
        <v>9</v>
      </c>
      <c r="Q6" s="152"/>
      <c r="R6" s="153"/>
      <c r="S6" s="157">
        <f t="shared" si="3"/>
        <v>0.13682066599999476</v>
      </c>
      <c r="T6" s="158">
        <f t="shared" si="4"/>
        <v>0.47884080932566353</v>
      </c>
      <c r="U6" s="158">
        <f t="shared" si="5"/>
        <v>-0.8638516871963151</v>
      </c>
      <c r="V6" s="149">
        <f t="shared" si="6"/>
        <v>74.05360779762756</v>
      </c>
      <c r="W6" s="115">
        <f t="shared" si="7"/>
        <v>-60.03685298442536</v>
      </c>
      <c r="X6" s="159">
        <f t="shared" si="8"/>
        <v>74.05360779762756</v>
      </c>
      <c r="Y6" s="149">
        <f t="shared" si="9"/>
        <v>344.0536077976276</v>
      </c>
      <c r="Z6" s="115">
        <f t="shared" si="10"/>
        <v>29.96314701557464</v>
      </c>
      <c r="AA6" s="160">
        <f t="shared" si="11"/>
        <v>103.90372406158359</v>
      </c>
      <c r="AB6" s="119">
        <f t="shared" si="12"/>
        <v>103.90372406158359</v>
      </c>
      <c r="AC6" s="120">
        <f t="shared" si="13"/>
        <v>-0.2402911357611281</v>
      </c>
      <c r="AD6" s="120">
        <f t="shared" si="14"/>
        <v>0.8409636152600358</v>
      </c>
      <c r="AE6" s="120">
        <f t="shared" si="15"/>
        <v>0.48480962024633717</v>
      </c>
      <c r="AF6" s="121">
        <f t="shared" si="16"/>
        <v>90.00000000000003</v>
      </c>
      <c r="AG6" s="119">
        <f t="shared" si="17"/>
        <v>29.00000000000001</v>
      </c>
      <c r="AH6" s="122">
        <f t="shared" si="18"/>
        <v>-3.5486017218038436E-05</v>
      </c>
      <c r="AI6" s="151">
        <v>83</v>
      </c>
      <c r="AJ6" s="153">
        <v>111</v>
      </c>
      <c r="AK6" s="151">
        <v>58.8</v>
      </c>
      <c r="AL6" s="152">
        <v>-37.2</v>
      </c>
      <c r="AM6" s="159">
        <f t="shared" si="19"/>
        <v>195.25360779762758</v>
      </c>
      <c r="AN6" s="149">
        <f t="shared" si="20"/>
        <v>105.25360779762758</v>
      </c>
      <c r="AO6" s="115">
        <f t="shared" si="21"/>
        <v>29.96314701557464</v>
      </c>
      <c r="AP6" s="121"/>
      <c r="AQ6" s="161"/>
      <c r="AR6" s="121"/>
      <c r="AS6" s="162"/>
      <c r="AT6" s="163"/>
    </row>
    <row r="7" spans="1:46" ht="15">
      <c r="A7" s="151" t="s">
        <v>45</v>
      </c>
      <c r="B7" s="152" t="s">
        <v>99</v>
      </c>
      <c r="C7" s="152">
        <v>2</v>
      </c>
      <c r="D7" s="153">
        <v>4</v>
      </c>
      <c r="E7" s="151" t="s">
        <v>108</v>
      </c>
      <c r="F7" s="152"/>
      <c r="G7" s="154">
        <f t="shared" si="0"/>
        <v>522.095</v>
      </c>
      <c r="H7" s="154">
        <f t="shared" si="0"/>
        <v>522.205</v>
      </c>
      <c r="I7" s="109">
        <f t="shared" si="1"/>
        <v>522.1500000000001</v>
      </c>
      <c r="J7" s="155">
        <v>87</v>
      </c>
      <c r="K7" s="156">
        <v>98</v>
      </c>
      <c r="L7" s="153">
        <f t="shared" si="2"/>
        <v>92.5</v>
      </c>
      <c r="M7" s="151">
        <v>90</v>
      </c>
      <c r="N7" s="152">
        <v>30</v>
      </c>
      <c r="O7" s="152">
        <v>0</v>
      </c>
      <c r="P7" s="152">
        <v>11</v>
      </c>
      <c r="Q7" s="152"/>
      <c r="R7" s="153"/>
      <c r="S7" s="157">
        <f t="shared" si="3"/>
        <v>0.16524543726667532</v>
      </c>
      <c r="T7" s="158">
        <f t="shared" si="4"/>
        <v>0.49081359172383193</v>
      </c>
      <c r="U7" s="158">
        <f t="shared" si="5"/>
        <v>-0.8501140779110444</v>
      </c>
      <c r="V7" s="149">
        <f t="shared" si="6"/>
        <v>71.3928263439761</v>
      </c>
      <c r="W7" s="115">
        <f t="shared" si="7"/>
        <v>-58.65048773884607</v>
      </c>
      <c r="X7" s="159">
        <f t="shared" si="8"/>
        <v>71.3928263439761</v>
      </c>
      <c r="Y7" s="149">
        <f t="shared" si="9"/>
        <v>341.3928263439761</v>
      </c>
      <c r="Z7" s="115">
        <f t="shared" si="10"/>
        <v>31.349512261153933</v>
      </c>
      <c r="AA7" s="160">
        <f t="shared" si="11"/>
        <v>106.04126703330452</v>
      </c>
      <c r="AB7" s="119">
        <f t="shared" si="12"/>
        <v>106.04126703330452</v>
      </c>
      <c r="AC7" s="120">
        <f t="shared" si="13"/>
        <v>-0.2763296287736885</v>
      </c>
      <c r="AD7" s="120">
        <f t="shared" si="14"/>
        <v>0.8207569288539668</v>
      </c>
      <c r="AE7" s="120">
        <f t="shared" si="15"/>
        <v>0.5</v>
      </c>
      <c r="AF7" s="121">
        <f t="shared" si="16"/>
        <v>89.99999999999997</v>
      </c>
      <c r="AG7" s="119">
        <f t="shared" si="17"/>
        <v>30.000000000000004</v>
      </c>
      <c r="AH7" s="122">
        <f t="shared" si="18"/>
        <v>-4.208671191937634E-05</v>
      </c>
      <c r="AI7" s="151">
        <v>83</v>
      </c>
      <c r="AJ7" s="153">
        <v>111</v>
      </c>
      <c r="AK7" s="151">
        <v>58.8</v>
      </c>
      <c r="AL7" s="152">
        <v>-37.2</v>
      </c>
      <c r="AM7" s="159">
        <f t="shared" si="19"/>
        <v>192.5928263439761</v>
      </c>
      <c r="AN7" s="149">
        <f t="shared" si="20"/>
        <v>102.5928263439761</v>
      </c>
      <c r="AO7" s="115">
        <f t="shared" si="21"/>
        <v>31.349512261153933</v>
      </c>
      <c r="AP7" s="121"/>
      <c r="AQ7" s="161"/>
      <c r="AR7" s="121"/>
      <c r="AS7" s="162"/>
      <c r="AT7" s="163"/>
    </row>
    <row r="8" spans="1:46" ht="15">
      <c r="A8" s="151" t="s">
        <v>45</v>
      </c>
      <c r="B8" s="152" t="s">
        <v>99</v>
      </c>
      <c r="C8" s="152">
        <v>2</v>
      </c>
      <c r="D8" s="153">
        <v>4</v>
      </c>
      <c r="E8" s="151" t="s">
        <v>112</v>
      </c>
      <c r="F8" s="152"/>
      <c r="G8" s="154">
        <f t="shared" si="0"/>
        <v>522.265</v>
      </c>
      <c r="H8" s="154">
        <f t="shared" si="0"/>
        <v>522.315</v>
      </c>
      <c r="I8" s="109">
        <f t="shared" si="1"/>
        <v>522.29</v>
      </c>
      <c r="J8" s="155">
        <v>104</v>
      </c>
      <c r="K8" s="156">
        <v>109</v>
      </c>
      <c r="L8" s="153">
        <f t="shared" si="2"/>
        <v>106.5</v>
      </c>
      <c r="M8" s="151">
        <v>90</v>
      </c>
      <c r="N8" s="152">
        <v>24</v>
      </c>
      <c r="O8" s="152">
        <v>0</v>
      </c>
      <c r="P8" s="152">
        <v>19</v>
      </c>
      <c r="Q8" s="152"/>
      <c r="R8" s="153"/>
      <c r="S8" s="157">
        <f t="shared" si="3"/>
        <v>0.2974213086574201</v>
      </c>
      <c r="T8" s="158">
        <f t="shared" si="4"/>
        <v>0.3845770514050783</v>
      </c>
      <c r="U8" s="158">
        <f t="shared" si="5"/>
        <v>-0.863774199855458</v>
      </c>
      <c r="V8" s="149">
        <f t="shared" si="6"/>
        <v>52.282620067174754</v>
      </c>
      <c r="W8" s="115">
        <f t="shared" si="7"/>
        <v>-60.6274030836645</v>
      </c>
      <c r="X8" s="159">
        <f t="shared" si="8"/>
        <v>52.282620067174754</v>
      </c>
      <c r="Y8" s="149">
        <f t="shared" si="9"/>
        <v>322.2826200671748</v>
      </c>
      <c r="Z8" s="115">
        <f t="shared" si="10"/>
        <v>29.372596916335503</v>
      </c>
      <c r="AA8" s="160">
        <f t="shared" si="11"/>
        <v>123.97816907730012</v>
      </c>
      <c r="AB8" s="119">
        <f t="shared" si="12"/>
        <v>123.97816907730012</v>
      </c>
      <c r="AC8" s="120">
        <f t="shared" si="13"/>
        <v>-0.5588769817645581</v>
      </c>
      <c r="AD8" s="120">
        <f t="shared" si="14"/>
        <v>0.7226491696758303</v>
      </c>
      <c r="AE8" s="120">
        <f t="shared" si="15"/>
        <v>0.4067366430758003</v>
      </c>
      <c r="AF8" s="121">
        <f t="shared" si="16"/>
        <v>90.00000000000003</v>
      </c>
      <c r="AG8" s="119">
        <f t="shared" si="17"/>
        <v>24.00000000000001</v>
      </c>
      <c r="AH8" s="122">
        <f t="shared" si="18"/>
        <v>-6.924265685095694E-05</v>
      </c>
      <c r="AI8" s="151">
        <v>83</v>
      </c>
      <c r="AJ8" s="153">
        <v>111</v>
      </c>
      <c r="AK8" s="151">
        <v>58.8</v>
      </c>
      <c r="AL8" s="152">
        <v>-37.2</v>
      </c>
      <c r="AM8" s="159">
        <f t="shared" si="19"/>
        <v>173.48262006717476</v>
      </c>
      <c r="AN8" s="149">
        <f t="shared" si="20"/>
        <v>83.48262006717476</v>
      </c>
      <c r="AO8" s="115">
        <f t="shared" si="21"/>
        <v>29.372596916335503</v>
      </c>
      <c r="AP8" s="121"/>
      <c r="AQ8" s="161"/>
      <c r="AR8" s="121"/>
      <c r="AS8" s="162"/>
      <c r="AT8" s="163"/>
    </row>
    <row r="9" spans="1:46" ht="15">
      <c r="A9" s="151" t="s">
        <v>45</v>
      </c>
      <c r="B9" s="152" t="s">
        <v>99</v>
      </c>
      <c r="C9" s="152">
        <v>2</v>
      </c>
      <c r="D9" s="153">
        <v>4</v>
      </c>
      <c r="E9" s="151" t="s">
        <v>112</v>
      </c>
      <c r="F9" s="152"/>
      <c r="G9" s="154">
        <f t="shared" si="0"/>
        <v>522.265</v>
      </c>
      <c r="H9" s="154">
        <f t="shared" si="0"/>
        <v>522.315</v>
      </c>
      <c r="I9" s="109">
        <f t="shared" si="1"/>
        <v>522.29</v>
      </c>
      <c r="J9" s="155">
        <v>104</v>
      </c>
      <c r="K9" s="156">
        <v>109</v>
      </c>
      <c r="L9" s="153">
        <f t="shared" si="2"/>
        <v>106.5</v>
      </c>
      <c r="M9" s="151">
        <v>90</v>
      </c>
      <c r="N9" s="152">
        <v>27</v>
      </c>
      <c r="O9" s="152">
        <v>0</v>
      </c>
      <c r="P9" s="152">
        <v>18</v>
      </c>
      <c r="Q9" s="152"/>
      <c r="R9" s="153"/>
      <c r="S9" s="157">
        <f t="shared" si="3"/>
        <v>0.2753361580731583</v>
      </c>
      <c r="T9" s="158">
        <f t="shared" si="4"/>
        <v>0.43177062311338915</v>
      </c>
      <c r="U9" s="158">
        <f t="shared" si="5"/>
        <v>-0.8473975608908426</v>
      </c>
      <c r="V9" s="149">
        <f t="shared" si="6"/>
        <v>57.47471665183263</v>
      </c>
      <c r="W9" s="115">
        <f t="shared" si="7"/>
        <v>-58.85506659849955</v>
      </c>
      <c r="X9" s="159">
        <f t="shared" si="8"/>
        <v>57.47471665183263</v>
      </c>
      <c r="Y9" s="149">
        <f t="shared" si="9"/>
        <v>327.47471665183264</v>
      </c>
      <c r="Z9" s="115">
        <f t="shared" si="10"/>
        <v>31.144933401500452</v>
      </c>
      <c r="AA9" s="160">
        <f t="shared" si="11"/>
        <v>118.62461559507486</v>
      </c>
      <c r="AB9" s="119">
        <f t="shared" si="12"/>
        <v>118.62461559507486</v>
      </c>
      <c r="AC9" s="120">
        <f t="shared" si="13"/>
        <v>-0.479069015590584</v>
      </c>
      <c r="AD9" s="120">
        <f t="shared" si="14"/>
        <v>0.7512559513556649</v>
      </c>
      <c r="AE9" s="120">
        <f t="shared" si="15"/>
        <v>0.453990499739547</v>
      </c>
      <c r="AF9" s="121">
        <f t="shared" si="16"/>
        <v>90.00000000000003</v>
      </c>
      <c r="AG9" s="119">
        <f t="shared" si="17"/>
        <v>27.000000000000018</v>
      </c>
      <c r="AH9" s="122">
        <f t="shared" si="18"/>
        <v>-6.625062479778915E-05</v>
      </c>
      <c r="AI9" s="151">
        <v>83</v>
      </c>
      <c r="AJ9" s="153">
        <v>111</v>
      </c>
      <c r="AK9" s="151">
        <v>58.8</v>
      </c>
      <c r="AL9" s="152">
        <v>-37.2</v>
      </c>
      <c r="AM9" s="159">
        <f t="shared" si="19"/>
        <v>178.67471665183263</v>
      </c>
      <c r="AN9" s="149">
        <f t="shared" si="20"/>
        <v>88.67471665183263</v>
      </c>
      <c r="AO9" s="115">
        <f t="shared" si="21"/>
        <v>31.144933401500452</v>
      </c>
      <c r="AP9" s="121"/>
      <c r="AQ9" s="161"/>
      <c r="AR9" s="121"/>
      <c r="AS9" s="162"/>
      <c r="AT9" s="163"/>
    </row>
    <row r="10" spans="1:46" ht="15">
      <c r="A10" s="151" t="s">
        <v>45</v>
      </c>
      <c r="B10" s="152" t="s">
        <v>99</v>
      </c>
      <c r="C10" s="152">
        <v>2</v>
      </c>
      <c r="D10" s="153">
        <v>4</v>
      </c>
      <c r="E10" s="151" t="s">
        <v>112</v>
      </c>
      <c r="F10" s="152"/>
      <c r="G10" s="154">
        <f t="shared" si="0"/>
        <v>522.265</v>
      </c>
      <c r="H10" s="154">
        <f t="shared" si="0"/>
        <v>522.315</v>
      </c>
      <c r="I10" s="109">
        <f t="shared" si="1"/>
        <v>522.29</v>
      </c>
      <c r="J10" s="155">
        <v>104</v>
      </c>
      <c r="K10" s="156">
        <v>109</v>
      </c>
      <c r="L10" s="153">
        <f t="shared" si="2"/>
        <v>106.5</v>
      </c>
      <c r="M10" s="151">
        <v>270</v>
      </c>
      <c r="N10" s="152">
        <v>52</v>
      </c>
      <c r="O10" s="152">
        <v>0</v>
      </c>
      <c r="P10" s="152">
        <v>32</v>
      </c>
      <c r="Q10" s="152"/>
      <c r="R10" s="153"/>
      <c r="S10" s="157">
        <f t="shared" si="3"/>
        <v>-0.32625087602130226</v>
      </c>
      <c r="T10" s="158">
        <f t="shared" si="4"/>
        <v>0.6682710193469712</v>
      </c>
      <c r="U10" s="158">
        <f t="shared" si="5"/>
        <v>0.522110542026781</v>
      </c>
      <c r="V10" s="149">
        <f t="shared" si="6"/>
        <v>116.02169705937521</v>
      </c>
      <c r="W10" s="115">
        <f t="shared" si="7"/>
        <v>35.07212201574807</v>
      </c>
      <c r="X10" s="159">
        <f t="shared" si="8"/>
        <v>296.02169705937524</v>
      </c>
      <c r="Y10" s="149">
        <f t="shared" si="9"/>
        <v>206.02169705937524</v>
      </c>
      <c r="Z10" s="115">
        <f t="shared" si="10"/>
        <v>54.92787798425193</v>
      </c>
      <c r="AA10" s="160">
        <f t="shared" si="11"/>
        <v>74.32991612836811</v>
      </c>
      <c r="AB10" s="119">
        <f t="shared" si="12"/>
        <v>74.32991612836811</v>
      </c>
      <c r="AC10" s="120">
        <f t="shared" si="13"/>
        <v>0.27009775411574344</v>
      </c>
      <c r="AD10" s="120">
        <f t="shared" si="14"/>
        <v>0.5532506262281116</v>
      </c>
      <c r="AE10" s="120">
        <f t="shared" si="15"/>
        <v>0.7880107536067219</v>
      </c>
      <c r="AF10" s="121">
        <f t="shared" si="16"/>
        <v>270</v>
      </c>
      <c r="AG10" s="119">
        <f t="shared" si="17"/>
        <v>52.00000000000001</v>
      </c>
      <c r="AH10" s="122">
        <f t="shared" si="18"/>
        <v>6.483246767482829E-05</v>
      </c>
      <c r="AI10" s="151">
        <v>83</v>
      </c>
      <c r="AJ10" s="153">
        <v>111</v>
      </c>
      <c r="AK10" s="151">
        <v>58.8</v>
      </c>
      <c r="AL10" s="152">
        <v>-37.2</v>
      </c>
      <c r="AM10" s="159">
        <f t="shared" si="19"/>
        <v>57.22169705937523</v>
      </c>
      <c r="AN10" s="149">
        <f t="shared" si="20"/>
        <v>327.22169705937523</v>
      </c>
      <c r="AO10" s="115">
        <f t="shared" si="21"/>
        <v>54.92787798425193</v>
      </c>
      <c r="AP10" s="121"/>
      <c r="AQ10" s="161"/>
      <c r="AR10" s="121"/>
      <c r="AS10" s="162"/>
      <c r="AT10" s="163"/>
    </row>
    <row r="11" spans="1:46" ht="15">
      <c r="A11" s="151" t="s">
        <v>45</v>
      </c>
      <c r="B11" s="152" t="s">
        <v>99</v>
      </c>
      <c r="C11" s="152">
        <v>2</v>
      </c>
      <c r="D11" s="153">
        <v>5</v>
      </c>
      <c r="E11" s="151" t="s">
        <v>112</v>
      </c>
      <c r="F11" s="152"/>
      <c r="G11" s="154">
        <f aca="true" t="shared" si="22" ref="G11:G19">J11/100+522.585</f>
        <v>522.705</v>
      </c>
      <c r="H11" s="154">
        <f aca="true" t="shared" si="23" ref="H11:H19">K11/100+522.585</f>
        <v>522.755</v>
      </c>
      <c r="I11" s="109">
        <f t="shared" si="1"/>
        <v>522.73</v>
      </c>
      <c r="J11" s="155">
        <v>12</v>
      </c>
      <c r="K11" s="156">
        <v>17</v>
      </c>
      <c r="L11" s="153">
        <f t="shared" si="2"/>
        <v>14.5</v>
      </c>
      <c r="M11" s="151">
        <v>180</v>
      </c>
      <c r="N11" s="152">
        <v>6</v>
      </c>
      <c r="O11" s="152">
        <v>270</v>
      </c>
      <c r="P11" s="152">
        <v>30</v>
      </c>
      <c r="Q11" s="152"/>
      <c r="R11" s="153"/>
      <c r="S11" s="157">
        <f t="shared" si="3"/>
        <v>0.0905243046083365</v>
      </c>
      <c r="T11" s="158">
        <f t="shared" si="4"/>
        <v>0.4972609476841366</v>
      </c>
      <c r="U11" s="158">
        <f t="shared" si="5"/>
        <v>0.8612812260087742</v>
      </c>
      <c r="V11" s="149">
        <f t="shared" si="6"/>
        <v>79.68252561495646</v>
      </c>
      <c r="W11" s="115">
        <f t="shared" si="7"/>
        <v>59.59391905436191</v>
      </c>
      <c r="X11" s="159">
        <f t="shared" si="8"/>
        <v>259.6825256149565</v>
      </c>
      <c r="Y11" s="149">
        <f t="shared" si="9"/>
        <v>169.6825256149565</v>
      </c>
      <c r="Z11" s="115">
        <f t="shared" si="10"/>
        <v>30.406080945638088</v>
      </c>
      <c r="AA11" s="160">
        <f t="shared" si="11"/>
        <v>98.92300904040519</v>
      </c>
      <c r="AB11" s="119">
        <f t="shared" si="12"/>
        <v>98.92300904040519</v>
      </c>
      <c r="AC11" s="120">
        <f t="shared" si="13"/>
        <v>-0.15510712220718118</v>
      </c>
      <c r="AD11" s="120">
        <f t="shared" si="14"/>
        <v>0.8520221714489633</v>
      </c>
      <c r="AE11" s="120">
        <f t="shared" si="15"/>
        <v>0.4999999999999999</v>
      </c>
      <c r="AF11" s="121">
        <f t="shared" si="16"/>
        <v>270</v>
      </c>
      <c r="AG11" s="119">
        <f t="shared" si="17"/>
        <v>29.999999999999993</v>
      </c>
      <c r="AH11" s="122">
        <f t="shared" si="18"/>
        <v>-2.3623836977824857E-05</v>
      </c>
      <c r="AI11" s="151">
        <v>3</v>
      </c>
      <c r="AJ11" s="153">
        <v>17</v>
      </c>
      <c r="AK11" s="151">
        <v>267.4</v>
      </c>
      <c r="AL11" s="152">
        <v>-49</v>
      </c>
      <c r="AM11" s="159">
        <f t="shared" si="19"/>
        <v>172.2825256149565</v>
      </c>
      <c r="AN11" s="149">
        <f t="shared" si="20"/>
        <v>82.28252561495651</v>
      </c>
      <c r="AO11" s="115">
        <f t="shared" si="21"/>
        <v>30.406080945638088</v>
      </c>
      <c r="AP11" s="121"/>
      <c r="AQ11" s="161"/>
      <c r="AR11" s="121"/>
      <c r="AS11" s="162"/>
      <c r="AT11" s="163"/>
    </row>
    <row r="12" spans="1:46" ht="15">
      <c r="A12" s="151" t="s">
        <v>45</v>
      </c>
      <c r="B12" s="152" t="s">
        <v>99</v>
      </c>
      <c r="C12" s="152">
        <v>2</v>
      </c>
      <c r="D12" s="153">
        <v>5</v>
      </c>
      <c r="E12" s="151" t="s">
        <v>112</v>
      </c>
      <c r="F12" s="152"/>
      <c r="G12" s="154">
        <f t="shared" si="22"/>
        <v>522.705</v>
      </c>
      <c r="H12" s="154">
        <f t="shared" si="23"/>
        <v>522.755</v>
      </c>
      <c r="I12" s="109">
        <f t="shared" si="1"/>
        <v>522.73</v>
      </c>
      <c r="J12" s="155">
        <v>12</v>
      </c>
      <c r="K12" s="156">
        <v>17</v>
      </c>
      <c r="L12" s="153">
        <f t="shared" si="2"/>
        <v>14.5</v>
      </c>
      <c r="M12" s="151">
        <v>180</v>
      </c>
      <c r="N12" s="152">
        <v>6</v>
      </c>
      <c r="O12" s="152">
        <v>270</v>
      </c>
      <c r="P12" s="152">
        <v>33</v>
      </c>
      <c r="Q12" s="152"/>
      <c r="R12" s="153"/>
      <c r="S12" s="157">
        <f t="shared" si="3"/>
        <v>0.08766494565514539</v>
      </c>
      <c r="T12" s="158">
        <f t="shared" si="4"/>
        <v>0.5416554453946921</v>
      </c>
      <c r="U12" s="158">
        <f t="shared" si="5"/>
        <v>0.8340762428226693</v>
      </c>
      <c r="V12" s="149">
        <f t="shared" si="6"/>
        <v>80.80660655419689</v>
      </c>
      <c r="W12" s="115">
        <f t="shared" si="7"/>
        <v>56.66076249383589</v>
      </c>
      <c r="X12" s="159">
        <f t="shared" si="8"/>
        <v>260.8066065541969</v>
      </c>
      <c r="Y12" s="149">
        <f t="shared" si="9"/>
        <v>170.8066065541969</v>
      </c>
      <c r="Z12" s="115">
        <f t="shared" si="10"/>
        <v>33.33923750616411</v>
      </c>
      <c r="AA12" s="160">
        <f t="shared" si="11"/>
        <v>97.70034691993857</v>
      </c>
      <c r="AB12" s="119">
        <f t="shared" si="12"/>
        <v>97.70034691993857</v>
      </c>
      <c r="AC12" s="120">
        <f t="shared" si="13"/>
        <v>-0.13399218571522428</v>
      </c>
      <c r="AD12" s="120">
        <f t="shared" si="14"/>
        <v>0.8278975876913504</v>
      </c>
      <c r="AE12" s="120">
        <f t="shared" si="15"/>
        <v>0.5446390350150269</v>
      </c>
      <c r="AF12" s="121">
        <f t="shared" si="16"/>
        <v>270</v>
      </c>
      <c r="AG12" s="119">
        <f t="shared" si="17"/>
        <v>32.999999999999986</v>
      </c>
      <c r="AH12" s="122">
        <f t="shared" si="18"/>
        <v>-2.2229824547589373E-05</v>
      </c>
      <c r="AI12" s="151">
        <v>3</v>
      </c>
      <c r="AJ12" s="153">
        <v>17</v>
      </c>
      <c r="AK12" s="151">
        <v>267.4</v>
      </c>
      <c r="AL12" s="152">
        <v>-49</v>
      </c>
      <c r="AM12" s="159">
        <f t="shared" si="19"/>
        <v>173.4066065541969</v>
      </c>
      <c r="AN12" s="149">
        <f t="shared" si="20"/>
        <v>83.40660655419691</v>
      </c>
      <c r="AO12" s="115">
        <f t="shared" si="21"/>
        <v>33.33923750616411</v>
      </c>
      <c r="AP12" s="121"/>
      <c r="AQ12" s="161"/>
      <c r="AR12" s="121"/>
      <c r="AS12" s="162"/>
      <c r="AT12" s="163"/>
    </row>
    <row r="13" spans="1:46" ht="15">
      <c r="A13" s="151" t="s">
        <v>45</v>
      </c>
      <c r="B13" s="152" t="s">
        <v>99</v>
      </c>
      <c r="C13" s="152">
        <v>2</v>
      </c>
      <c r="D13" s="153">
        <v>5</v>
      </c>
      <c r="E13" s="151" t="s">
        <v>112</v>
      </c>
      <c r="F13" s="152"/>
      <c r="G13" s="154">
        <f t="shared" si="22"/>
        <v>522.705</v>
      </c>
      <c r="H13" s="154">
        <f t="shared" si="23"/>
        <v>522.755</v>
      </c>
      <c r="I13" s="109">
        <f t="shared" si="1"/>
        <v>522.73</v>
      </c>
      <c r="J13" s="155">
        <v>12</v>
      </c>
      <c r="K13" s="156">
        <v>17</v>
      </c>
      <c r="L13" s="153">
        <f t="shared" si="2"/>
        <v>14.5</v>
      </c>
      <c r="M13" s="151">
        <v>180</v>
      </c>
      <c r="N13" s="152">
        <v>8</v>
      </c>
      <c r="O13" s="152">
        <v>270</v>
      </c>
      <c r="P13" s="152">
        <v>28</v>
      </c>
      <c r="Q13" s="152"/>
      <c r="R13" s="153"/>
      <c r="S13" s="157">
        <f t="shared" si="3"/>
        <v>0.12288255448340225</v>
      </c>
      <c r="T13" s="158">
        <f t="shared" si="4"/>
        <v>0.464902697809071</v>
      </c>
      <c r="U13" s="158">
        <f t="shared" si="5"/>
        <v>0.8743548075804279</v>
      </c>
      <c r="V13" s="149">
        <f t="shared" si="6"/>
        <v>75.19424434537943</v>
      </c>
      <c r="W13" s="115">
        <f t="shared" si="7"/>
        <v>61.190540142361506</v>
      </c>
      <c r="X13" s="159">
        <f t="shared" si="8"/>
        <v>255.19424434537945</v>
      </c>
      <c r="Y13" s="149">
        <f t="shared" si="9"/>
        <v>165.19424434537945</v>
      </c>
      <c r="Z13" s="115">
        <f t="shared" si="10"/>
        <v>28.809459857638494</v>
      </c>
      <c r="AA13" s="160">
        <f t="shared" si="11"/>
        <v>103.03998422616979</v>
      </c>
      <c r="AB13" s="119">
        <f t="shared" si="12"/>
        <v>103.03998422616979</v>
      </c>
      <c r="AC13" s="120">
        <f t="shared" si="13"/>
        <v>-0.2256309698940134</v>
      </c>
      <c r="AD13" s="120">
        <f t="shared" si="14"/>
        <v>0.8536317222081549</v>
      </c>
      <c r="AE13" s="120">
        <f t="shared" si="15"/>
        <v>0.4694715627858906</v>
      </c>
      <c r="AF13" s="121">
        <f t="shared" si="16"/>
        <v>270</v>
      </c>
      <c r="AG13" s="119">
        <f t="shared" si="17"/>
        <v>27.999999999999986</v>
      </c>
      <c r="AH13" s="122">
        <f t="shared" si="18"/>
        <v>-3.226686367489083E-05</v>
      </c>
      <c r="AI13" s="151">
        <v>3</v>
      </c>
      <c r="AJ13" s="153">
        <v>17</v>
      </c>
      <c r="AK13" s="151">
        <v>267.4</v>
      </c>
      <c r="AL13" s="152">
        <v>-49</v>
      </c>
      <c r="AM13" s="159">
        <f t="shared" si="19"/>
        <v>167.79424434537947</v>
      </c>
      <c r="AN13" s="149">
        <f t="shared" si="20"/>
        <v>77.79424434537947</v>
      </c>
      <c r="AO13" s="115">
        <f t="shared" si="21"/>
        <v>28.809459857638494</v>
      </c>
      <c r="AP13" s="121"/>
      <c r="AQ13" s="161"/>
      <c r="AR13" s="121"/>
      <c r="AS13" s="162"/>
      <c r="AT13" s="163"/>
    </row>
    <row r="14" spans="1:46" ht="15">
      <c r="A14" s="151" t="s">
        <v>45</v>
      </c>
      <c r="B14" s="152" t="s">
        <v>99</v>
      </c>
      <c r="C14" s="152">
        <v>2</v>
      </c>
      <c r="D14" s="153">
        <v>5</v>
      </c>
      <c r="E14" s="151" t="s">
        <v>112</v>
      </c>
      <c r="F14" s="152"/>
      <c r="G14" s="154">
        <f t="shared" si="22"/>
        <v>522.705</v>
      </c>
      <c r="H14" s="154">
        <f t="shared" si="23"/>
        <v>522.755</v>
      </c>
      <c r="I14" s="109">
        <f t="shared" si="1"/>
        <v>522.73</v>
      </c>
      <c r="J14" s="155">
        <v>12</v>
      </c>
      <c r="K14" s="156">
        <v>17</v>
      </c>
      <c r="L14" s="153">
        <f t="shared" si="2"/>
        <v>14.5</v>
      </c>
      <c r="M14" s="151">
        <v>180</v>
      </c>
      <c r="N14" s="152">
        <v>19</v>
      </c>
      <c r="O14" s="152">
        <v>270</v>
      </c>
      <c r="P14" s="152">
        <v>34</v>
      </c>
      <c r="Q14" s="152"/>
      <c r="R14" s="153"/>
      <c r="S14" s="157">
        <f t="shared" si="3"/>
        <v>0.26990823247238604</v>
      </c>
      <c r="T14" s="158">
        <f t="shared" si="4"/>
        <v>0.5287272775749069</v>
      </c>
      <c r="U14" s="158">
        <f t="shared" si="5"/>
        <v>0.7838704247205582</v>
      </c>
      <c r="V14" s="149">
        <f t="shared" si="6"/>
        <v>62.95629380903068</v>
      </c>
      <c r="W14" s="115">
        <f t="shared" si="7"/>
        <v>52.862873370224435</v>
      </c>
      <c r="X14" s="159">
        <f t="shared" si="8"/>
        <v>242.95629380903068</v>
      </c>
      <c r="Y14" s="149">
        <f t="shared" si="9"/>
        <v>152.95629380903068</v>
      </c>
      <c r="Z14" s="115">
        <f t="shared" si="10"/>
        <v>37.137126629775565</v>
      </c>
      <c r="AA14" s="160">
        <f t="shared" si="11"/>
        <v>112.14417773612372</v>
      </c>
      <c r="AB14" s="119">
        <f t="shared" si="12"/>
        <v>112.14417773612372</v>
      </c>
      <c r="AC14" s="120">
        <f t="shared" si="13"/>
        <v>-0.3769385483096535</v>
      </c>
      <c r="AD14" s="120">
        <f t="shared" si="14"/>
        <v>0.7383905656941772</v>
      </c>
      <c r="AE14" s="120">
        <f t="shared" si="15"/>
        <v>0.5591929034707469</v>
      </c>
      <c r="AF14" s="121">
        <f t="shared" si="16"/>
        <v>270</v>
      </c>
      <c r="AG14" s="119">
        <f t="shared" si="17"/>
        <v>34</v>
      </c>
      <c r="AH14" s="122">
        <f t="shared" si="18"/>
        <v>-6.420619193116753E-05</v>
      </c>
      <c r="AI14" s="151">
        <v>3</v>
      </c>
      <c r="AJ14" s="153">
        <v>17</v>
      </c>
      <c r="AK14" s="151">
        <v>267.4</v>
      </c>
      <c r="AL14" s="152">
        <v>-49</v>
      </c>
      <c r="AM14" s="159">
        <f t="shared" si="19"/>
        <v>155.5562938090307</v>
      </c>
      <c r="AN14" s="149">
        <f t="shared" si="20"/>
        <v>65.5562938090307</v>
      </c>
      <c r="AO14" s="115">
        <f t="shared" si="21"/>
        <v>37.137126629775565</v>
      </c>
      <c r="AP14" s="121"/>
      <c r="AQ14" s="161"/>
      <c r="AR14" s="121"/>
      <c r="AS14" s="162"/>
      <c r="AT14" s="163"/>
    </row>
    <row r="15" spans="1:46" ht="15">
      <c r="A15" s="151" t="s">
        <v>45</v>
      </c>
      <c r="B15" s="152" t="s">
        <v>99</v>
      </c>
      <c r="C15" s="152">
        <v>2</v>
      </c>
      <c r="D15" s="153">
        <v>5</v>
      </c>
      <c r="E15" s="151" t="s">
        <v>112</v>
      </c>
      <c r="F15" s="152"/>
      <c r="G15" s="154">
        <f t="shared" si="22"/>
        <v>522.705</v>
      </c>
      <c r="H15" s="154">
        <f t="shared" si="23"/>
        <v>522.755</v>
      </c>
      <c r="I15" s="109">
        <f t="shared" si="1"/>
        <v>522.73</v>
      </c>
      <c r="J15" s="155">
        <v>12</v>
      </c>
      <c r="K15" s="156">
        <v>17</v>
      </c>
      <c r="L15" s="153">
        <f t="shared" si="2"/>
        <v>14.5</v>
      </c>
      <c r="M15" s="151">
        <v>180</v>
      </c>
      <c r="N15" s="152">
        <v>12</v>
      </c>
      <c r="O15" s="152">
        <v>270</v>
      </c>
      <c r="P15" s="152">
        <v>26</v>
      </c>
      <c r="Q15" s="152"/>
      <c r="R15" s="153"/>
      <c r="S15" s="157">
        <f t="shared" si="3"/>
        <v>0.18686978986299532</v>
      </c>
      <c r="T15" s="158">
        <f t="shared" si="4"/>
        <v>0.42879168546266294</v>
      </c>
      <c r="U15" s="158">
        <f t="shared" si="5"/>
        <v>0.8791532399413593</v>
      </c>
      <c r="V15" s="149">
        <f t="shared" si="6"/>
        <v>66.45216127237379</v>
      </c>
      <c r="W15" s="115">
        <f t="shared" si="7"/>
        <v>61.985370279193184</v>
      </c>
      <c r="X15" s="159">
        <f t="shared" si="8"/>
        <v>246.4521612723738</v>
      </c>
      <c r="Y15" s="149">
        <f t="shared" si="9"/>
        <v>156.4521612723738</v>
      </c>
      <c r="Z15" s="115">
        <f t="shared" si="10"/>
        <v>28.014629720806816</v>
      </c>
      <c r="AA15" s="160">
        <f t="shared" si="11"/>
        <v>111.04379019756662</v>
      </c>
      <c r="AB15" s="119">
        <f t="shared" si="12"/>
        <v>111.04379019756662</v>
      </c>
      <c r="AC15" s="120">
        <f t="shared" si="13"/>
        <v>-0.3590813645776019</v>
      </c>
      <c r="AD15" s="120">
        <f t="shared" si="14"/>
        <v>0.8239486096085826</v>
      </c>
      <c r="AE15" s="120">
        <f t="shared" si="15"/>
        <v>0.4383711467890774</v>
      </c>
      <c r="AF15" s="121">
        <f t="shared" si="16"/>
        <v>270</v>
      </c>
      <c r="AG15" s="119">
        <f t="shared" si="17"/>
        <v>25.999999999999996</v>
      </c>
      <c r="AH15" s="122">
        <f t="shared" si="18"/>
        <v>-4.794932341874171E-05</v>
      </c>
      <c r="AI15" s="151">
        <v>3</v>
      </c>
      <c r="AJ15" s="153">
        <v>17</v>
      </c>
      <c r="AK15" s="151">
        <v>267.4</v>
      </c>
      <c r="AL15" s="152">
        <v>-49</v>
      </c>
      <c r="AM15" s="159">
        <f t="shared" si="19"/>
        <v>159.0521612723738</v>
      </c>
      <c r="AN15" s="149">
        <f t="shared" si="20"/>
        <v>69.05216127237381</v>
      </c>
      <c r="AO15" s="115">
        <f t="shared" si="21"/>
        <v>28.014629720806816</v>
      </c>
      <c r="AP15" s="121"/>
      <c r="AQ15" s="161"/>
      <c r="AR15" s="121"/>
      <c r="AS15" s="162"/>
      <c r="AT15" s="163"/>
    </row>
    <row r="16" spans="1:46" ht="15">
      <c r="A16" s="151" t="s">
        <v>45</v>
      </c>
      <c r="B16" s="152" t="s">
        <v>99</v>
      </c>
      <c r="C16" s="152">
        <v>2</v>
      </c>
      <c r="D16" s="153">
        <v>5</v>
      </c>
      <c r="E16" s="151" t="s">
        <v>108</v>
      </c>
      <c r="F16" s="152" t="s">
        <v>111</v>
      </c>
      <c r="G16" s="154">
        <f t="shared" si="22"/>
        <v>523.135</v>
      </c>
      <c r="H16" s="154">
        <f t="shared" si="23"/>
        <v>523.825</v>
      </c>
      <c r="I16" s="109">
        <f t="shared" si="1"/>
        <v>523.48</v>
      </c>
      <c r="J16" s="155">
        <v>55</v>
      </c>
      <c r="K16" s="156">
        <v>124</v>
      </c>
      <c r="L16" s="153">
        <f t="shared" si="2"/>
        <v>89.5</v>
      </c>
      <c r="M16" s="151">
        <v>90</v>
      </c>
      <c r="N16" s="152">
        <v>38</v>
      </c>
      <c r="O16" s="152">
        <v>180</v>
      </c>
      <c r="P16" s="152">
        <v>6</v>
      </c>
      <c r="Q16" s="152"/>
      <c r="R16" s="153"/>
      <c r="S16" s="157">
        <f t="shared" si="3"/>
        <v>0.0823695531128961</v>
      </c>
      <c r="T16" s="158">
        <f t="shared" si="4"/>
        <v>-0.612288817346101</v>
      </c>
      <c r="U16" s="158">
        <f t="shared" si="5"/>
        <v>0.7836939482475386</v>
      </c>
      <c r="V16" s="149">
        <f t="shared" si="6"/>
        <v>277.6618463922391</v>
      </c>
      <c r="W16" s="115">
        <f t="shared" si="7"/>
        <v>51.75045280036002</v>
      </c>
      <c r="X16" s="159">
        <f t="shared" si="8"/>
        <v>97.66184639223911</v>
      </c>
      <c r="Y16" s="149">
        <f t="shared" si="9"/>
        <v>7.661846392239113</v>
      </c>
      <c r="Z16" s="115">
        <f t="shared" si="10"/>
        <v>38.24954719963998</v>
      </c>
      <c r="AA16" s="160">
        <f t="shared" si="11"/>
        <v>83.96923127442794</v>
      </c>
      <c r="AB16" s="119">
        <f t="shared" si="12"/>
        <v>83.96923127442794</v>
      </c>
      <c r="AC16" s="120">
        <f t="shared" si="13"/>
        <v>0.10506252191013118</v>
      </c>
      <c r="AD16" s="120">
        <f t="shared" si="14"/>
        <v>0.7809755529398581</v>
      </c>
      <c r="AE16" s="120">
        <f t="shared" si="15"/>
        <v>0.6156614753256583</v>
      </c>
      <c r="AF16" s="121">
        <f t="shared" si="16"/>
        <v>89.99999999999999</v>
      </c>
      <c r="AG16" s="119">
        <f t="shared" si="17"/>
        <v>38</v>
      </c>
      <c r="AH16" s="122">
        <f t="shared" si="18"/>
        <v>1.9703162284884618E-05</v>
      </c>
      <c r="AI16" s="151">
        <v>80</v>
      </c>
      <c r="AJ16" s="153">
        <v>107</v>
      </c>
      <c r="AK16" s="151">
        <v>116.1</v>
      </c>
      <c r="AL16" s="152">
        <v>-48.7</v>
      </c>
      <c r="AM16" s="159">
        <f t="shared" si="19"/>
        <v>161.56184639223912</v>
      </c>
      <c r="AN16" s="149">
        <f t="shared" si="20"/>
        <v>71.56184639223912</v>
      </c>
      <c r="AO16" s="115">
        <f t="shared" si="21"/>
        <v>38.24954719963998</v>
      </c>
      <c r="AP16" s="121"/>
      <c r="AQ16" s="161"/>
      <c r="AR16" s="121"/>
      <c r="AS16" s="162"/>
      <c r="AT16" s="163"/>
    </row>
    <row r="17" spans="1:46" ht="15">
      <c r="A17" s="151" t="s">
        <v>45</v>
      </c>
      <c r="B17" s="152" t="s">
        <v>99</v>
      </c>
      <c r="C17" s="152">
        <v>2</v>
      </c>
      <c r="D17" s="153">
        <v>5</v>
      </c>
      <c r="E17" s="151" t="s">
        <v>108</v>
      </c>
      <c r="F17" s="152" t="s">
        <v>109</v>
      </c>
      <c r="G17" s="154">
        <f t="shared" si="22"/>
        <v>523.135</v>
      </c>
      <c r="H17" s="154">
        <f t="shared" si="23"/>
        <v>523.825</v>
      </c>
      <c r="I17" s="109">
        <f t="shared" si="1"/>
        <v>523.48</v>
      </c>
      <c r="J17" s="155">
        <v>55</v>
      </c>
      <c r="K17" s="156">
        <v>124</v>
      </c>
      <c r="L17" s="153">
        <f t="shared" si="2"/>
        <v>89.5</v>
      </c>
      <c r="M17" s="151">
        <v>270</v>
      </c>
      <c r="N17" s="152">
        <v>30</v>
      </c>
      <c r="O17" s="152">
        <v>180</v>
      </c>
      <c r="P17" s="152">
        <v>16</v>
      </c>
      <c r="Q17" s="152"/>
      <c r="R17" s="153"/>
      <c r="S17" s="157">
        <f t="shared" si="3"/>
        <v>-0.23870895236949177</v>
      </c>
      <c r="T17" s="158">
        <f t="shared" si="4"/>
        <v>-0.48063084796915934</v>
      </c>
      <c r="U17" s="158">
        <f t="shared" si="5"/>
        <v>-0.8324770483674969</v>
      </c>
      <c r="V17" s="149">
        <f t="shared" si="6"/>
        <v>243.58835894778647</v>
      </c>
      <c r="W17" s="115">
        <f t="shared" si="7"/>
        <v>-57.1926934250774</v>
      </c>
      <c r="X17" s="159">
        <f t="shared" si="8"/>
        <v>243.58835894778647</v>
      </c>
      <c r="Y17" s="149">
        <f t="shared" si="9"/>
        <v>153.58835894778647</v>
      </c>
      <c r="Z17" s="115">
        <f t="shared" si="10"/>
        <v>32.8073065749226</v>
      </c>
      <c r="AA17" s="160">
        <f t="shared" si="11"/>
        <v>112.65758240786279</v>
      </c>
      <c r="AB17" s="119">
        <f t="shared" si="12"/>
        <v>112.65758240786279</v>
      </c>
      <c r="AC17" s="120">
        <f t="shared" si="13"/>
        <v>-0.38522295710501137</v>
      </c>
      <c r="AD17" s="120">
        <f t="shared" si="14"/>
        <v>0.7756308872906431</v>
      </c>
      <c r="AE17" s="120">
        <f t="shared" si="15"/>
        <v>0.5000000000000001</v>
      </c>
      <c r="AF17" s="121">
        <f t="shared" si="16"/>
        <v>270</v>
      </c>
      <c r="AG17" s="119">
        <f t="shared" si="17"/>
        <v>30.00000000000001</v>
      </c>
      <c r="AH17" s="122">
        <f t="shared" si="18"/>
        <v>-5.8671624885866746E-05</v>
      </c>
      <c r="AI17" s="151">
        <v>80</v>
      </c>
      <c r="AJ17" s="153">
        <v>107</v>
      </c>
      <c r="AK17" s="151">
        <v>116.1</v>
      </c>
      <c r="AL17" s="152">
        <v>-48.7</v>
      </c>
      <c r="AM17" s="159">
        <f t="shared" si="19"/>
        <v>307.4883589477865</v>
      </c>
      <c r="AN17" s="149">
        <f t="shared" si="20"/>
        <v>217.48835894778648</v>
      </c>
      <c r="AO17" s="115">
        <f t="shared" si="21"/>
        <v>32.8073065749226</v>
      </c>
      <c r="AP17" s="121"/>
      <c r="AQ17" s="161"/>
      <c r="AR17" s="121"/>
      <c r="AS17" s="162"/>
      <c r="AT17" s="163"/>
    </row>
    <row r="18" spans="1:46" ht="15">
      <c r="A18" s="151" t="s">
        <v>45</v>
      </c>
      <c r="B18" s="152" t="s">
        <v>99</v>
      </c>
      <c r="C18" s="152">
        <v>2</v>
      </c>
      <c r="D18" s="153">
        <v>5</v>
      </c>
      <c r="E18" s="151" t="s">
        <v>112</v>
      </c>
      <c r="F18" s="152"/>
      <c r="G18" s="154">
        <f t="shared" si="22"/>
        <v>523.575</v>
      </c>
      <c r="H18" s="154">
        <f t="shared" si="23"/>
        <v>523.605</v>
      </c>
      <c r="I18" s="109">
        <f t="shared" si="1"/>
        <v>523.59</v>
      </c>
      <c r="J18" s="155">
        <v>99</v>
      </c>
      <c r="K18" s="156">
        <v>102</v>
      </c>
      <c r="L18" s="153">
        <f t="shared" si="2"/>
        <v>100.5</v>
      </c>
      <c r="M18" s="151">
        <v>180</v>
      </c>
      <c r="N18" s="152">
        <v>9</v>
      </c>
      <c r="O18" s="152">
        <v>270</v>
      </c>
      <c r="P18" s="152">
        <v>24</v>
      </c>
      <c r="Q18" s="152"/>
      <c r="R18" s="153"/>
      <c r="S18" s="157">
        <f t="shared" si="3"/>
        <v>0.1429099949562532</v>
      </c>
      <c r="T18" s="158">
        <f t="shared" si="4"/>
        <v>0.4017290400587739</v>
      </c>
      <c r="U18" s="158">
        <f t="shared" si="5"/>
        <v>0.9022981971172461</v>
      </c>
      <c r="V18" s="149">
        <f t="shared" si="6"/>
        <v>70.41763134829833</v>
      </c>
      <c r="W18" s="115">
        <f t="shared" si="7"/>
        <v>64.70639292985162</v>
      </c>
      <c r="X18" s="159">
        <f t="shared" si="8"/>
        <v>250.41763134829833</v>
      </c>
      <c r="Y18" s="149">
        <f t="shared" si="9"/>
        <v>160.41763134829833</v>
      </c>
      <c r="Z18" s="115">
        <f t="shared" si="10"/>
        <v>25.293607070148383</v>
      </c>
      <c r="AA18" s="160">
        <f t="shared" si="11"/>
        <v>107.82949530534862</v>
      </c>
      <c r="AB18" s="119">
        <f t="shared" si="12"/>
        <v>107.82949530534862</v>
      </c>
      <c r="AC18" s="120">
        <f t="shared" si="13"/>
        <v>-0.3061854113085657</v>
      </c>
      <c r="AD18" s="120">
        <f t="shared" si="14"/>
        <v>0.8607065685128896</v>
      </c>
      <c r="AE18" s="120">
        <f t="shared" si="15"/>
        <v>0.40673664307580015</v>
      </c>
      <c r="AF18" s="121">
        <f t="shared" si="16"/>
        <v>270</v>
      </c>
      <c r="AG18" s="119">
        <f t="shared" si="17"/>
        <v>24</v>
      </c>
      <c r="AH18" s="122">
        <f t="shared" si="18"/>
        <v>-3.793558752662278E-05</v>
      </c>
      <c r="AI18" s="151">
        <v>93</v>
      </c>
      <c r="AJ18" s="153">
        <v>121</v>
      </c>
      <c r="AK18" s="151">
        <v>116.1</v>
      </c>
      <c r="AL18" s="152">
        <v>-48.7</v>
      </c>
      <c r="AM18" s="159">
        <f t="shared" si="19"/>
        <v>314.31763134829833</v>
      </c>
      <c r="AN18" s="149">
        <f t="shared" si="20"/>
        <v>224.31763134829833</v>
      </c>
      <c r="AO18" s="115">
        <f t="shared" si="21"/>
        <v>25.293607070148383</v>
      </c>
      <c r="AP18" s="121"/>
      <c r="AQ18" s="161"/>
      <c r="AR18" s="121"/>
      <c r="AS18" s="162"/>
      <c r="AT18" s="163"/>
    </row>
    <row r="19" spans="1:46" ht="15">
      <c r="A19" s="151" t="s">
        <v>45</v>
      </c>
      <c r="B19" s="152" t="s">
        <v>99</v>
      </c>
      <c r="C19" s="152">
        <v>2</v>
      </c>
      <c r="D19" s="153">
        <v>5</v>
      </c>
      <c r="E19" s="151" t="s">
        <v>112</v>
      </c>
      <c r="F19" s="152"/>
      <c r="G19" s="154">
        <f t="shared" si="22"/>
        <v>523.575</v>
      </c>
      <c r="H19" s="154">
        <f t="shared" si="23"/>
        <v>523.605</v>
      </c>
      <c r="I19" s="109">
        <f t="shared" si="1"/>
        <v>523.59</v>
      </c>
      <c r="J19" s="155">
        <v>99</v>
      </c>
      <c r="K19" s="156">
        <v>102</v>
      </c>
      <c r="L19" s="153">
        <f t="shared" si="2"/>
        <v>100.5</v>
      </c>
      <c r="M19" s="151">
        <v>180</v>
      </c>
      <c r="N19" s="152">
        <v>11</v>
      </c>
      <c r="O19" s="152">
        <v>270</v>
      </c>
      <c r="P19" s="152">
        <v>35</v>
      </c>
      <c r="Q19" s="152">
        <v>2</v>
      </c>
      <c r="R19" s="153">
        <v>270</v>
      </c>
      <c r="S19" s="157">
        <f t="shared" si="3"/>
        <v>0.15630157863142552</v>
      </c>
      <c r="T19" s="158">
        <f t="shared" si="4"/>
        <v>0.5630382217072256</v>
      </c>
      <c r="U19" s="158">
        <f t="shared" si="5"/>
        <v>0.8041019140507991</v>
      </c>
      <c r="V19" s="149">
        <f t="shared" si="6"/>
        <v>74.48514084147226</v>
      </c>
      <c r="W19" s="115">
        <f t="shared" si="7"/>
        <v>53.99457471616294</v>
      </c>
      <c r="X19" s="159">
        <f t="shared" si="8"/>
        <v>254.48514084147226</v>
      </c>
      <c r="Y19" s="149">
        <f t="shared" si="9"/>
        <v>164.48514084147226</v>
      </c>
      <c r="Z19" s="115">
        <f t="shared" si="10"/>
        <v>36.00542528383706</v>
      </c>
      <c r="AA19" s="160">
        <f t="shared" si="11"/>
        <v>102.65697394047152</v>
      </c>
      <c r="AB19" s="119">
        <f t="shared" si="12"/>
        <v>104.65697394047152</v>
      </c>
      <c r="AC19" s="120">
        <f t="shared" si="13"/>
        <v>-0.2530315068638059</v>
      </c>
      <c r="AD19" s="120">
        <f t="shared" si="14"/>
        <v>0.7826361454439936</v>
      </c>
      <c r="AE19" s="120">
        <f t="shared" si="15"/>
        <v>0.5687316769609372</v>
      </c>
      <c r="AF19" s="121">
        <f t="shared" si="16"/>
        <v>272.40150832683804</v>
      </c>
      <c r="AG19" s="119">
        <f t="shared" si="17"/>
        <v>34.66182900690422</v>
      </c>
      <c r="AH19" s="122">
        <f t="shared" si="18"/>
        <v>-4.383572679213717E-05</v>
      </c>
      <c r="AI19" s="151">
        <v>93</v>
      </c>
      <c r="AJ19" s="153">
        <v>121</v>
      </c>
      <c r="AK19" s="151">
        <v>116.1</v>
      </c>
      <c r="AL19" s="152">
        <v>-48.7</v>
      </c>
      <c r="AM19" s="159">
        <f t="shared" si="19"/>
        <v>318.38514084147226</v>
      </c>
      <c r="AN19" s="149">
        <f t="shared" si="20"/>
        <v>228.38514084147226</v>
      </c>
      <c r="AO19" s="115">
        <f t="shared" si="21"/>
        <v>36.00542528383706</v>
      </c>
      <c r="AP19" s="121">
        <f>AB19</f>
        <v>104.65697394047152</v>
      </c>
      <c r="AQ19" s="161">
        <f>IF(AL19&gt;=0,IF(AF19&gt;=AK19,AF19-AK19,AF19-AK19+360),IF((AF19-AK19-180)&lt;0,IF(AF19-AK19+180&lt;0,AF19-AK19+540,AF19-AK19+180),AF19-AK19-180))</f>
        <v>336.3015083268381</v>
      </c>
      <c r="AR19" s="121">
        <f>AG19</f>
        <v>34.66182900690422</v>
      </c>
      <c r="AS19" s="162"/>
      <c r="AT19" s="163"/>
    </row>
    <row r="20" spans="1:46" ht="15">
      <c r="A20" s="151" t="s">
        <v>45</v>
      </c>
      <c r="B20" s="152" t="s">
        <v>99</v>
      </c>
      <c r="C20" s="152">
        <v>4</v>
      </c>
      <c r="D20" s="153">
        <v>1</v>
      </c>
      <c r="E20" s="151" t="s">
        <v>112</v>
      </c>
      <c r="F20" s="152"/>
      <c r="G20" s="154">
        <f>J20/100+536</f>
        <v>536.69</v>
      </c>
      <c r="H20" s="154">
        <f>K20/100+536</f>
        <v>536.73</v>
      </c>
      <c r="I20" s="109">
        <f t="shared" si="1"/>
        <v>536.71</v>
      </c>
      <c r="J20" s="155">
        <v>69</v>
      </c>
      <c r="K20" s="156">
        <v>73</v>
      </c>
      <c r="L20" s="153">
        <f t="shared" si="2"/>
        <v>71</v>
      </c>
      <c r="M20" s="151">
        <v>90</v>
      </c>
      <c r="N20" s="152">
        <v>30</v>
      </c>
      <c r="O20" s="152">
        <v>0</v>
      </c>
      <c r="P20" s="152">
        <v>31</v>
      </c>
      <c r="Q20" s="152"/>
      <c r="R20" s="153"/>
      <c r="S20" s="157">
        <f t="shared" si="3"/>
        <v>0.44603605678833963</v>
      </c>
      <c r="T20" s="158">
        <f t="shared" si="4"/>
        <v>0.4285836503510561</v>
      </c>
      <c r="U20" s="158">
        <f t="shared" si="5"/>
        <v>-0.7423286577013642</v>
      </c>
      <c r="V20" s="149">
        <f t="shared" si="6"/>
        <v>43.85685568590638</v>
      </c>
      <c r="W20" s="115">
        <f t="shared" si="7"/>
        <v>-50.19600392335758</v>
      </c>
      <c r="X20" s="159">
        <f t="shared" si="8"/>
        <v>43.85685568590638</v>
      </c>
      <c r="Y20" s="149">
        <f t="shared" si="9"/>
        <v>313.8568556859064</v>
      </c>
      <c r="Z20" s="115">
        <f t="shared" si="10"/>
        <v>39.80399607664242</v>
      </c>
      <c r="AA20" s="160">
        <f t="shared" si="11"/>
        <v>128.6431196020898</v>
      </c>
      <c r="AB20" s="119">
        <f t="shared" si="12"/>
        <v>128.6431196020898</v>
      </c>
      <c r="AC20" s="120">
        <f t="shared" si="13"/>
        <v>-0.6244675758968882</v>
      </c>
      <c r="AD20" s="120">
        <f t="shared" si="14"/>
        <v>0.6000335379405591</v>
      </c>
      <c r="AE20" s="120">
        <f t="shared" si="15"/>
        <v>0.49999999999999983</v>
      </c>
      <c r="AF20" s="121">
        <f t="shared" si="16"/>
        <v>90</v>
      </c>
      <c r="AG20" s="119">
        <f t="shared" si="17"/>
        <v>29.999999999999993</v>
      </c>
      <c r="AH20" s="122">
        <f t="shared" si="18"/>
        <v>-9.510876066493806E-05</v>
      </c>
      <c r="AI20" s="151">
        <v>67</v>
      </c>
      <c r="AJ20" s="153">
        <v>75</v>
      </c>
      <c r="AK20" s="151">
        <v>125.2</v>
      </c>
      <c r="AL20" s="152">
        <v>-80.2</v>
      </c>
      <c r="AM20" s="159">
        <f t="shared" si="19"/>
        <v>98.65685568590638</v>
      </c>
      <c r="AN20" s="149">
        <f t="shared" si="20"/>
        <v>8.656855685906379</v>
      </c>
      <c r="AO20" s="115">
        <f t="shared" si="21"/>
        <v>39.80399607664242</v>
      </c>
      <c r="AP20" s="121"/>
      <c r="AQ20" s="161"/>
      <c r="AR20" s="121"/>
      <c r="AS20" s="162"/>
      <c r="AT20" s="163"/>
    </row>
    <row r="21" spans="1:46" ht="15">
      <c r="A21" s="151" t="s">
        <v>45</v>
      </c>
      <c r="B21" s="152" t="s">
        <v>99</v>
      </c>
      <c r="C21" s="152">
        <v>4</v>
      </c>
      <c r="D21" s="153">
        <v>1</v>
      </c>
      <c r="E21" s="151" t="s">
        <v>112</v>
      </c>
      <c r="F21" s="152"/>
      <c r="G21" s="154">
        <f>J21/100+536</f>
        <v>536.74</v>
      </c>
      <c r="H21" s="154">
        <f>K21/100+536</f>
        <v>536.74</v>
      </c>
      <c r="I21" s="109">
        <f t="shared" si="1"/>
        <v>536.74</v>
      </c>
      <c r="J21" s="155">
        <v>74</v>
      </c>
      <c r="K21" s="156">
        <v>74</v>
      </c>
      <c r="L21" s="153">
        <f t="shared" si="2"/>
        <v>74</v>
      </c>
      <c r="M21" s="151">
        <v>0</v>
      </c>
      <c r="N21" s="152">
        <v>45</v>
      </c>
      <c r="O21" s="152">
        <v>90</v>
      </c>
      <c r="P21" s="152">
        <v>47</v>
      </c>
      <c r="Q21" s="152"/>
      <c r="R21" s="153"/>
      <c r="S21" s="157">
        <f t="shared" si="3"/>
        <v>-0.4822456651582973</v>
      </c>
      <c r="T21" s="158">
        <f t="shared" si="4"/>
        <v>-0.5171451618607984</v>
      </c>
      <c r="U21" s="158">
        <f t="shared" si="5"/>
        <v>0.4822456651582974</v>
      </c>
      <c r="V21" s="149">
        <f t="shared" si="6"/>
        <v>227</v>
      </c>
      <c r="W21" s="115">
        <f t="shared" si="7"/>
        <v>34.29392370812132</v>
      </c>
      <c r="X21" s="159">
        <f t="shared" si="8"/>
        <v>47</v>
      </c>
      <c r="Y21" s="149">
        <f t="shared" si="9"/>
        <v>317</v>
      </c>
      <c r="Z21" s="115">
        <f t="shared" si="10"/>
        <v>55.70607629187868</v>
      </c>
      <c r="AA21" s="160">
        <f t="shared" si="11"/>
        <v>117.7181026334588</v>
      </c>
      <c r="AB21" s="119">
        <f t="shared" si="12"/>
        <v>117.7181026334588</v>
      </c>
      <c r="AC21" s="120">
        <f t="shared" si="13"/>
        <v>-0.46512176312793724</v>
      </c>
      <c r="AD21" s="120">
        <f t="shared" si="14"/>
        <v>0.4987820251299122</v>
      </c>
      <c r="AE21" s="120">
        <f t="shared" si="15"/>
        <v>0.7313537016191706</v>
      </c>
      <c r="AF21" s="121">
        <f t="shared" si="16"/>
        <v>90</v>
      </c>
      <c r="AG21" s="119">
        <f t="shared" si="17"/>
        <v>47.000000000000014</v>
      </c>
      <c r="AH21" s="122">
        <f t="shared" si="18"/>
        <v>-0.0001036173058726929</v>
      </c>
      <c r="AI21" s="151">
        <v>67</v>
      </c>
      <c r="AJ21" s="153">
        <v>74</v>
      </c>
      <c r="AK21" s="151">
        <v>125.2</v>
      </c>
      <c r="AL21" s="152">
        <v>-80.2</v>
      </c>
      <c r="AM21" s="159">
        <f t="shared" si="19"/>
        <v>101.8</v>
      </c>
      <c r="AN21" s="149">
        <f t="shared" si="20"/>
        <v>11.799999999999997</v>
      </c>
      <c r="AO21" s="115">
        <f t="shared" si="21"/>
        <v>55.70607629187868</v>
      </c>
      <c r="AP21" s="121"/>
      <c r="AQ21" s="161"/>
      <c r="AR21" s="121"/>
      <c r="AS21" s="162"/>
      <c r="AT21" s="163"/>
    </row>
    <row r="22" spans="1:46" ht="15">
      <c r="A22" s="151" t="s">
        <v>45</v>
      </c>
      <c r="B22" s="152" t="s">
        <v>99</v>
      </c>
      <c r="C22" s="152">
        <v>4</v>
      </c>
      <c r="D22" s="153">
        <v>3</v>
      </c>
      <c r="E22" s="151" t="s">
        <v>112</v>
      </c>
      <c r="F22" s="152"/>
      <c r="G22" s="154">
        <f aca="true" t="shared" si="24" ref="G22:H25">J22/100+537.105</f>
        <v>538.085</v>
      </c>
      <c r="H22" s="154">
        <f t="shared" si="24"/>
        <v>538.135</v>
      </c>
      <c r="I22" s="109">
        <f t="shared" si="1"/>
        <v>538.11</v>
      </c>
      <c r="J22" s="155">
        <v>98</v>
      </c>
      <c r="K22" s="156">
        <v>103</v>
      </c>
      <c r="L22" s="153">
        <f t="shared" si="2"/>
        <v>100.5</v>
      </c>
      <c r="M22" s="151">
        <v>90</v>
      </c>
      <c r="N22" s="152">
        <v>40</v>
      </c>
      <c r="O22" s="152">
        <v>180</v>
      </c>
      <c r="P22" s="152">
        <v>69</v>
      </c>
      <c r="Q22" s="152"/>
      <c r="R22" s="153"/>
      <c r="S22" s="157">
        <f t="shared" si="3"/>
        <v>0.7151640979228269</v>
      </c>
      <c r="T22" s="158">
        <f t="shared" si="4"/>
        <v>-0.23035447767648998</v>
      </c>
      <c r="U22" s="158">
        <f t="shared" si="5"/>
        <v>0.27452577634111963</v>
      </c>
      <c r="V22" s="149">
        <f t="shared" si="6"/>
        <v>342.14624144448794</v>
      </c>
      <c r="W22" s="115">
        <f t="shared" si="7"/>
        <v>20.071189893286725</v>
      </c>
      <c r="X22" s="159">
        <f t="shared" si="8"/>
        <v>162.14624144448794</v>
      </c>
      <c r="Y22" s="149">
        <f t="shared" si="9"/>
        <v>72.14624144448794</v>
      </c>
      <c r="Z22" s="115">
        <f t="shared" si="10"/>
        <v>69.92881010671327</v>
      </c>
      <c r="AA22" s="160">
        <f t="shared" si="11"/>
        <v>43.18453333628163</v>
      </c>
      <c r="AB22" s="119">
        <f t="shared" si="12"/>
        <v>43.18453333628163</v>
      </c>
      <c r="AC22" s="120">
        <f t="shared" si="13"/>
        <v>0.7291533903843469</v>
      </c>
      <c r="AD22" s="120">
        <f t="shared" si="14"/>
        <v>0.23486043115960906</v>
      </c>
      <c r="AE22" s="120">
        <f t="shared" si="15"/>
        <v>0.6427876096865393</v>
      </c>
      <c r="AF22" s="121">
        <f t="shared" si="16"/>
        <v>90</v>
      </c>
      <c r="AG22" s="119">
        <f t="shared" si="17"/>
        <v>39.99999999999999</v>
      </c>
      <c r="AH22" s="122">
        <f t="shared" si="18"/>
        <v>0.00014276452299127578</v>
      </c>
      <c r="AI22" s="151">
        <v>96</v>
      </c>
      <c r="AJ22" s="153">
        <v>110</v>
      </c>
      <c r="AK22" s="151">
        <v>162.8</v>
      </c>
      <c r="AL22" s="152">
        <v>58.4</v>
      </c>
      <c r="AM22" s="159">
        <f t="shared" si="19"/>
        <v>359.34624144448793</v>
      </c>
      <c r="AN22" s="149">
        <f t="shared" si="20"/>
        <v>269.34624144448793</v>
      </c>
      <c r="AO22" s="115">
        <f t="shared" si="21"/>
        <v>69.92881010671327</v>
      </c>
      <c r="AP22" s="121"/>
      <c r="AQ22" s="161"/>
      <c r="AR22" s="121"/>
      <c r="AS22" s="162"/>
      <c r="AT22" s="163"/>
    </row>
    <row r="23" spans="1:46" ht="15">
      <c r="A23" s="151" t="s">
        <v>45</v>
      </c>
      <c r="B23" s="152" t="s">
        <v>99</v>
      </c>
      <c r="C23" s="152">
        <v>4</v>
      </c>
      <c r="D23" s="153">
        <v>3</v>
      </c>
      <c r="E23" s="151" t="s">
        <v>112</v>
      </c>
      <c r="F23" s="152"/>
      <c r="G23" s="154">
        <f t="shared" si="24"/>
        <v>538.125</v>
      </c>
      <c r="H23" s="154">
        <f t="shared" si="24"/>
        <v>538.155</v>
      </c>
      <c r="I23" s="109">
        <f t="shared" si="1"/>
        <v>538.14</v>
      </c>
      <c r="J23" s="155">
        <v>102</v>
      </c>
      <c r="K23" s="156">
        <v>105</v>
      </c>
      <c r="L23" s="153">
        <f t="shared" si="2"/>
        <v>103.5</v>
      </c>
      <c r="M23" s="151">
        <v>90</v>
      </c>
      <c r="N23" s="152">
        <v>18</v>
      </c>
      <c r="O23" s="152">
        <v>180</v>
      </c>
      <c r="P23" s="152">
        <v>29</v>
      </c>
      <c r="Q23" s="152"/>
      <c r="R23" s="153"/>
      <c r="S23" s="157">
        <f t="shared" si="3"/>
        <v>0.4610813484978576</v>
      </c>
      <c r="T23" s="158">
        <f t="shared" si="4"/>
        <v>-0.27027235312131287</v>
      </c>
      <c r="U23" s="158">
        <f t="shared" si="5"/>
        <v>0.8318127717550812</v>
      </c>
      <c r="V23" s="149">
        <f t="shared" si="6"/>
        <v>329.62241970617043</v>
      </c>
      <c r="W23" s="115">
        <f t="shared" si="7"/>
        <v>57.27846354127638</v>
      </c>
      <c r="X23" s="159">
        <f t="shared" si="8"/>
        <v>149.62241970617043</v>
      </c>
      <c r="Y23" s="149">
        <f t="shared" si="9"/>
        <v>59.62241970617043</v>
      </c>
      <c r="Z23" s="115">
        <f t="shared" si="10"/>
        <v>32.72153645872362</v>
      </c>
      <c r="AA23" s="160">
        <f t="shared" si="11"/>
        <v>34.866375690442034</v>
      </c>
      <c r="AB23" s="119">
        <f t="shared" si="12"/>
        <v>34.866375690442034</v>
      </c>
      <c r="AC23" s="120">
        <f t="shared" si="13"/>
        <v>0.8204875012402407</v>
      </c>
      <c r="AD23" s="120">
        <f t="shared" si="14"/>
        <v>0.4809456907968086</v>
      </c>
      <c r="AE23" s="120">
        <f t="shared" si="15"/>
        <v>0.3090169943749476</v>
      </c>
      <c r="AF23" s="121">
        <f t="shared" si="16"/>
        <v>90</v>
      </c>
      <c r="AG23" s="119">
        <f t="shared" si="17"/>
        <v>18.000000000000014</v>
      </c>
      <c r="AH23" s="122">
        <f t="shared" si="18"/>
        <v>7.723108212733336E-05</v>
      </c>
      <c r="AI23" s="151">
        <v>96</v>
      </c>
      <c r="AJ23" s="153">
        <v>110</v>
      </c>
      <c r="AK23" s="151">
        <v>162.8</v>
      </c>
      <c r="AL23" s="152">
        <v>58.4</v>
      </c>
      <c r="AM23" s="159">
        <f t="shared" si="19"/>
        <v>346.8224197061704</v>
      </c>
      <c r="AN23" s="149">
        <f t="shared" si="20"/>
        <v>256.8224197061704</v>
      </c>
      <c r="AO23" s="115">
        <f t="shared" si="21"/>
        <v>32.72153645872362</v>
      </c>
      <c r="AP23" s="121"/>
      <c r="AQ23" s="161"/>
      <c r="AR23" s="121"/>
      <c r="AS23" s="162"/>
      <c r="AT23" s="163"/>
    </row>
    <row r="24" spans="1:46" ht="15">
      <c r="A24" s="151" t="s">
        <v>45</v>
      </c>
      <c r="B24" s="152" t="s">
        <v>99</v>
      </c>
      <c r="C24" s="152">
        <v>4</v>
      </c>
      <c r="D24" s="153">
        <v>3</v>
      </c>
      <c r="E24" s="151" t="s">
        <v>112</v>
      </c>
      <c r="F24" s="152"/>
      <c r="G24" s="154">
        <f t="shared" si="24"/>
        <v>538.335</v>
      </c>
      <c r="H24" s="154">
        <f t="shared" si="24"/>
        <v>538.365</v>
      </c>
      <c r="I24" s="109">
        <f t="shared" si="1"/>
        <v>538.35</v>
      </c>
      <c r="J24" s="155">
        <v>123</v>
      </c>
      <c r="K24" s="156">
        <v>126</v>
      </c>
      <c r="L24" s="153">
        <f t="shared" si="2"/>
        <v>124.5</v>
      </c>
      <c r="M24" s="151">
        <v>270</v>
      </c>
      <c r="N24" s="152">
        <v>46</v>
      </c>
      <c r="O24" s="152">
        <v>180</v>
      </c>
      <c r="P24" s="152">
        <v>14</v>
      </c>
      <c r="Q24" s="152"/>
      <c r="R24" s="153"/>
      <c r="S24" s="157">
        <f t="shared" si="3"/>
        <v>-0.16805306977561696</v>
      </c>
      <c r="T24" s="158">
        <f t="shared" si="4"/>
        <v>-0.6979723340088217</v>
      </c>
      <c r="U24" s="158">
        <f t="shared" si="5"/>
        <v>-0.674024048078213</v>
      </c>
      <c r="V24" s="149">
        <f t="shared" si="6"/>
        <v>256.46238284391626</v>
      </c>
      <c r="W24" s="115">
        <f t="shared" si="7"/>
        <v>-43.19378826125334</v>
      </c>
      <c r="X24" s="159">
        <f t="shared" si="8"/>
        <v>256.46238284391626</v>
      </c>
      <c r="Y24" s="149">
        <f t="shared" si="9"/>
        <v>166.46238284391626</v>
      </c>
      <c r="Z24" s="115">
        <f t="shared" si="10"/>
        <v>46.80621173874666</v>
      </c>
      <c r="AA24" s="160">
        <f t="shared" si="11"/>
        <v>99.35831878011143</v>
      </c>
      <c r="AB24" s="119">
        <f t="shared" si="12"/>
        <v>99.35831878011143</v>
      </c>
      <c r="AC24" s="120">
        <f t="shared" si="13"/>
        <v>-0.16260821297434272</v>
      </c>
      <c r="AD24" s="120">
        <f t="shared" si="14"/>
        <v>0.6753582906295298</v>
      </c>
      <c r="AE24" s="120">
        <f t="shared" si="15"/>
        <v>0.7193398003386511</v>
      </c>
      <c r="AF24" s="121">
        <f t="shared" si="16"/>
        <v>270</v>
      </c>
      <c r="AG24" s="119">
        <f t="shared" si="17"/>
        <v>46</v>
      </c>
      <c r="AH24" s="122">
        <f t="shared" si="18"/>
        <v>-3.563028613007653E-05</v>
      </c>
      <c r="AI24" s="151">
        <v>122</v>
      </c>
      <c r="AJ24" s="153">
        <v>127</v>
      </c>
      <c r="AK24" s="151">
        <v>298.8</v>
      </c>
      <c r="AL24" s="152">
        <v>58.4</v>
      </c>
      <c r="AM24" s="159">
        <f t="shared" si="19"/>
        <v>317.66238284391625</v>
      </c>
      <c r="AN24" s="149">
        <f t="shared" si="20"/>
        <v>227.66238284391625</v>
      </c>
      <c r="AO24" s="115">
        <f t="shared" si="21"/>
        <v>46.80621173874666</v>
      </c>
      <c r="AP24" s="121"/>
      <c r="AQ24" s="161"/>
      <c r="AR24" s="121"/>
      <c r="AS24" s="162"/>
      <c r="AT24" s="163"/>
    </row>
    <row r="25" spans="1:46" ht="15">
      <c r="A25" s="151" t="s">
        <v>45</v>
      </c>
      <c r="B25" s="152" t="s">
        <v>99</v>
      </c>
      <c r="C25" s="152">
        <v>4</v>
      </c>
      <c r="D25" s="153">
        <v>3</v>
      </c>
      <c r="E25" s="151" t="s">
        <v>112</v>
      </c>
      <c r="F25" s="152"/>
      <c r="G25" s="154">
        <f t="shared" si="24"/>
        <v>538.335</v>
      </c>
      <c r="H25" s="154">
        <f t="shared" si="24"/>
        <v>538.365</v>
      </c>
      <c r="I25" s="109">
        <f t="shared" si="1"/>
        <v>538.35</v>
      </c>
      <c r="J25" s="155">
        <v>123</v>
      </c>
      <c r="K25" s="156">
        <v>126</v>
      </c>
      <c r="L25" s="153">
        <f t="shared" si="2"/>
        <v>124.5</v>
      </c>
      <c r="M25" s="151">
        <v>270</v>
      </c>
      <c r="N25" s="152">
        <v>40</v>
      </c>
      <c r="O25" s="152">
        <v>354</v>
      </c>
      <c r="P25" s="152">
        <v>0</v>
      </c>
      <c r="Q25" s="152"/>
      <c r="R25" s="153"/>
      <c r="S25" s="157">
        <f t="shared" si="3"/>
        <v>0.06718960104802216</v>
      </c>
      <c r="T25" s="158">
        <f t="shared" si="4"/>
        <v>0.6392663519046988</v>
      </c>
      <c r="U25" s="158">
        <f t="shared" si="5"/>
        <v>0.7618479715070194</v>
      </c>
      <c r="V25" s="149">
        <f t="shared" si="6"/>
        <v>84</v>
      </c>
      <c r="W25" s="115">
        <f t="shared" si="7"/>
        <v>49.8449500156014</v>
      </c>
      <c r="X25" s="159">
        <f t="shared" si="8"/>
        <v>264</v>
      </c>
      <c r="Y25" s="149">
        <f t="shared" si="9"/>
        <v>174</v>
      </c>
      <c r="Z25" s="115">
        <f t="shared" si="10"/>
        <v>40.1550499843986</v>
      </c>
      <c r="AA25" s="160">
        <f t="shared" si="11"/>
        <v>94.5927875650492</v>
      </c>
      <c r="AB25" s="119">
        <f t="shared" si="12"/>
        <v>94.5927875650492</v>
      </c>
      <c r="AC25" s="120">
        <f t="shared" si="13"/>
        <v>-0.08007344843395242</v>
      </c>
      <c r="AD25" s="120">
        <f t="shared" si="14"/>
        <v>0.7618479715070197</v>
      </c>
      <c r="AE25" s="120">
        <f t="shared" si="15"/>
        <v>0.642787609686539</v>
      </c>
      <c r="AF25" s="121">
        <f t="shared" si="16"/>
        <v>270</v>
      </c>
      <c r="AG25" s="119">
        <f t="shared" si="17"/>
        <v>39.99999999999997</v>
      </c>
      <c r="AH25" s="122">
        <f t="shared" si="18"/>
        <v>-1.5678391779597562E-05</v>
      </c>
      <c r="AI25" s="151">
        <v>122</v>
      </c>
      <c r="AJ25" s="153">
        <v>127</v>
      </c>
      <c r="AK25" s="151">
        <v>298.8</v>
      </c>
      <c r="AL25" s="152">
        <v>58.4</v>
      </c>
      <c r="AM25" s="159">
        <f t="shared" si="19"/>
        <v>325.2</v>
      </c>
      <c r="AN25" s="149">
        <f t="shared" si="20"/>
        <v>235.2</v>
      </c>
      <c r="AO25" s="115">
        <f t="shared" si="21"/>
        <v>40.1550499843986</v>
      </c>
      <c r="AP25" s="121"/>
      <c r="AQ25" s="161"/>
      <c r="AR25" s="121"/>
      <c r="AS25" s="162"/>
      <c r="AT25" s="163"/>
    </row>
    <row r="26" spans="1:46" ht="15">
      <c r="A26" s="151" t="s">
        <v>45</v>
      </c>
      <c r="B26" s="152" t="s">
        <v>99</v>
      </c>
      <c r="C26" s="152">
        <v>5</v>
      </c>
      <c r="D26" s="153">
        <v>1</v>
      </c>
      <c r="E26" s="151" t="s">
        <v>112</v>
      </c>
      <c r="F26" s="152"/>
      <c r="G26" s="154">
        <f aca="true" t="shared" si="25" ref="G26:H29">J26/100+545.5</f>
        <v>545.66</v>
      </c>
      <c r="H26" s="154">
        <f t="shared" si="25"/>
        <v>545.7</v>
      </c>
      <c r="I26" s="109">
        <f t="shared" si="1"/>
        <v>545.6800000000001</v>
      </c>
      <c r="J26" s="155">
        <v>16</v>
      </c>
      <c r="K26" s="156">
        <v>20</v>
      </c>
      <c r="L26" s="153">
        <f t="shared" si="2"/>
        <v>18</v>
      </c>
      <c r="M26" s="151">
        <v>270</v>
      </c>
      <c r="N26" s="152">
        <v>25</v>
      </c>
      <c r="O26" s="152">
        <v>0</v>
      </c>
      <c r="P26" s="152">
        <v>38</v>
      </c>
      <c r="Q26" s="152"/>
      <c r="R26" s="153"/>
      <c r="S26" s="157">
        <f t="shared" si="3"/>
        <v>-0.5579787892661163</v>
      </c>
      <c r="T26" s="158">
        <f t="shared" si="4"/>
        <v>0.3330277349222516</v>
      </c>
      <c r="U26" s="158">
        <f t="shared" si="5"/>
        <v>0.714180282262391</v>
      </c>
      <c r="V26" s="149">
        <f t="shared" si="6"/>
        <v>149.16927931456982</v>
      </c>
      <c r="W26" s="115">
        <f t="shared" si="7"/>
        <v>47.70211036050495</v>
      </c>
      <c r="X26" s="159">
        <f t="shared" si="8"/>
        <v>329.16927931456985</v>
      </c>
      <c r="Y26" s="149">
        <f t="shared" si="9"/>
        <v>239.16927931456985</v>
      </c>
      <c r="Z26" s="115">
        <f t="shared" si="10"/>
        <v>42.29788963949505</v>
      </c>
      <c r="AA26" s="160">
        <f t="shared" si="11"/>
        <v>38.90091604259263</v>
      </c>
      <c r="AB26" s="119">
        <f t="shared" si="12"/>
        <v>38.90091604259263</v>
      </c>
      <c r="AC26" s="120">
        <f t="shared" si="13"/>
        <v>0.7782331085787298</v>
      </c>
      <c r="AD26" s="120">
        <f t="shared" si="14"/>
        <v>0.4644857732537743</v>
      </c>
      <c r="AE26" s="120">
        <f t="shared" si="15"/>
        <v>0.4226182617406993</v>
      </c>
      <c r="AF26" s="121">
        <f t="shared" si="16"/>
        <v>270</v>
      </c>
      <c r="AG26" s="119">
        <f t="shared" si="17"/>
        <v>24.999999999999993</v>
      </c>
      <c r="AH26" s="122">
        <f t="shared" si="18"/>
        <v>0.00010018331675373938</v>
      </c>
      <c r="AI26" s="151">
        <v>16</v>
      </c>
      <c r="AJ26" s="153">
        <v>20</v>
      </c>
      <c r="AK26" s="151">
        <v>62.6</v>
      </c>
      <c r="AL26" s="152">
        <v>65.9</v>
      </c>
      <c r="AM26" s="159">
        <f t="shared" si="19"/>
        <v>266.5692793145698</v>
      </c>
      <c r="AN26" s="149">
        <f t="shared" si="20"/>
        <v>176.56927931456983</v>
      </c>
      <c r="AO26" s="115">
        <f t="shared" si="21"/>
        <v>42.29788963949505</v>
      </c>
      <c r="AP26" s="121"/>
      <c r="AQ26" s="161"/>
      <c r="AR26" s="121"/>
      <c r="AS26" s="162"/>
      <c r="AT26" s="163"/>
    </row>
    <row r="27" spans="1:46" ht="15">
      <c r="A27" s="151" t="s">
        <v>45</v>
      </c>
      <c r="B27" s="152" t="s">
        <v>99</v>
      </c>
      <c r="C27" s="152">
        <v>5</v>
      </c>
      <c r="D27" s="153">
        <v>1</v>
      </c>
      <c r="E27" s="151" t="s">
        <v>48</v>
      </c>
      <c r="F27" s="152"/>
      <c r="G27" s="154">
        <f t="shared" si="25"/>
        <v>546.04</v>
      </c>
      <c r="H27" s="154">
        <f t="shared" si="25"/>
        <v>546.04</v>
      </c>
      <c r="I27" s="109">
        <f t="shared" si="1"/>
        <v>546.04</v>
      </c>
      <c r="J27" s="155">
        <v>54</v>
      </c>
      <c r="K27" s="156">
        <v>54</v>
      </c>
      <c r="L27" s="153">
        <f t="shared" si="2"/>
        <v>54</v>
      </c>
      <c r="M27" s="151">
        <v>270</v>
      </c>
      <c r="N27" s="152">
        <v>10</v>
      </c>
      <c r="O27" s="152">
        <v>0</v>
      </c>
      <c r="P27" s="152">
        <v>17</v>
      </c>
      <c r="Q27" s="152"/>
      <c r="R27" s="153"/>
      <c r="S27" s="157">
        <f t="shared" si="3"/>
        <v>-0.28792992157234715</v>
      </c>
      <c r="T27" s="158">
        <f t="shared" si="4"/>
        <v>0.16606057816719969</v>
      </c>
      <c r="U27" s="158">
        <f t="shared" si="5"/>
        <v>0.9417763379148448</v>
      </c>
      <c r="V27" s="149">
        <f t="shared" si="6"/>
        <v>150.02624995217846</v>
      </c>
      <c r="W27" s="115">
        <f t="shared" si="7"/>
        <v>70.56032753415856</v>
      </c>
      <c r="X27" s="159">
        <f t="shared" si="8"/>
        <v>330.02624995217843</v>
      </c>
      <c r="Y27" s="149">
        <f t="shared" si="9"/>
        <v>240.02624995217843</v>
      </c>
      <c r="Z27" s="115">
        <f t="shared" si="10"/>
        <v>19.43967246584144</v>
      </c>
      <c r="AA27" s="160">
        <f t="shared" si="11"/>
        <v>31.45019429461439</v>
      </c>
      <c r="AB27" s="119">
        <f t="shared" si="12"/>
        <v>31.45019429461439</v>
      </c>
      <c r="AC27" s="120">
        <f t="shared" si="13"/>
        <v>0.8530940363336407</v>
      </c>
      <c r="AD27" s="120">
        <f t="shared" si="14"/>
        <v>0.49201308474971595</v>
      </c>
      <c r="AE27" s="120">
        <f t="shared" si="15"/>
        <v>0.17364817766693025</v>
      </c>
      <c r="AF27" s="121">
        <f t="shared" si="16"/>
        <v>269.99999999999994</v>
      </c>
      <c r="AG27" s="119">
        <f t="shared" si="17"/>
        <v>9.999999999999995</v>
      </c>
      <c r="AH27" s="122">
        <f t="shared" si="18"/>
        <v>4.512374742478305E-05</v>
      </c>
      <c r="AI27" s="151">
        <v>54</v>
      </c>
      <c r="AJ27" s="153">
        <v>59</v>
      </c>
      <c r="AK27" s="151">
        <v>281.4</v>
      </c>
      <c r="AL27" s="152">
        <v>48.3</v>
      </c>
      <c r="AM27" s="159">
        <f t="shared" si="19"/>
        <v>48.626249952178455</v>
      </c>
      <c r="AN27" s="149">
        <f t="shared" si="20"/>
        <v>318.62624995217845</v>
      </c>
      <c r="AO27" s="115">
        <f t="shared" si="21"/>
        <v>19.43967246584144</v>
      </c>
      <c r="AP27" s="121"/>
      <c r="AQ27" s="161"/>
      <c r="AR27" s="121"/>
      <c r="AS27" s="162"/>
      <c r="AT27" s="163"/>
    </row>
    <row r="28" spans="1:46" ht="15">
      <c r="A28" s="151" t="s">
        <v>45</v>
      </c>
      <c r="B28" s="152" t="s">
        <v>99</v>
      </c>
      <c r="C28" s="152">
        <v>5</v>
      </c>
      <c r="D28" s="153">
        <v>1</v>
      </c>
      <c r="E28" s="151" t="s">
        <v>112</v>
      </c>
      <c r="F28" s="152"/>
      <c r="G28" s="154">
        <f t="shared" si="25"/>
        <v>546.04</v>
      </c>
      <c r="H28" s="154">
        <f t="shared" si="25"/>
        <v>546.09</v>
      </c>
      <c r="I28" s="109">
        <f t="shared" si="1"/>
        <v>546.065</v>
      </c>
      <c r="J28" s="155">
        <v>54</v>
      </c>
      <c r="K28" s="156">
        <v>59</v>
      </c>
      <c r="L28" s="153">
        <f t="shared" si="2"/>
        <v>56.5</v>
      </c>
      <c r="M28" s="151">
        <v>90</v>
      </c>
      <c r="N28" s="152">
        <v>60</v>
      </c>
      <c r="O28" s="152">
        <v>0</v>
      </c>
      <c r="P28" s="152">
        <v>20</v>
      </c>
      <c r="Q28" s="152"/>
      <c r="R28" s="153"/>
      <c r="S28" s="157">
        <f t="shared" si="3"/>
        <v>0.17101007166283438</v>
      </c>
      <c r="T28" s="158">
        <f t="shared" si="4"/>
        <v>0.8137976813493737</v>
      </c>
      <c r="U28" s="158">
        <f t="shared" si="5"/>
        <v>-0.4698463103929543</v>
      </c>
      <c r="V28" s="149">
        <f t="shared" si="6"/>
        <v>78.13263107422573</v>
      </c>
      <c r="W28" s="115">
        <f t="shared" si="7"/>
        <v>-29.466888529001213</v>
      </c>
      <c r="X28" s="159">
        <f t="shared" si="8"/>
        <v>78.13263107422573</v>
      </c>
      <c r="Y28" s="149">
        <f t="shared" si="9"/>
        <v>348.13263107422574</v>
      </c>
      <c r="Z28" s="115">
        <f t="shared" si="10"/>
        <v>60.53311147099879</v>
      </c>
      <c r="AA28" s="160">
        <f t="shared" si="11"/>
        <v>95.90177982128294</v>
      </c>
      <c r="AB28" s="119">
        <f t="shared" si="12"/>
        <v>95.90177982128294</v>
      </c>
      <c r="AC28" s="120">
        <f t="shared" si="13"/>
        <v>-0.10282343592881144</v>
      </c>
      <c r="AD28" s="120">
        <f t="shared" si="14"/>
        <v>0.4893131318734392</v>
      </c>
      <c r="AE28" s="120">
        <f t="shared" si="15"/>
        <v>0.8660254037844387</v>
      </c>
      <c r="AF28" s="121">
        <f t="shared" si="16"/>
        <v>89.99999999999999</v>
      </c>
      <c r="AG28" s="119">
        <f t="shared" si="17"/>
        <v>60.00000000000001</v>
      </c>
      <c r="AH28" s="122">
        <f t="shared" si="18"/>
        <v>-2.7124435523145265E-05</v>
      </c>
      <c r="AI28" s="151">
        <v>54</v>
      </c>
      <c r="AJ28" s="153">
        <v>59</v>
      </c>
      <c r="AK28" s="151">
        <v>281.4</v>
      </c>
      <c r="AL28" s="152">
        <v>48.3</v>
      </c>
      <c r="AM28" s="159">
        <f t="shared" si="19"/>
        <v>156.73263107422576</v>
      </c>
      <c r="AN28" s="149">
        <f t="shared" si="20"/>
        <v>66.73263107422576</v>
      </c>
      <c r="AO28" s="115">
        <f t="shared" si="21"/>
        <v>60.53311147099879</v>
      </c>
      <c r="AP28" s="121"/>
      <c r="AQ28" s="161"/>
      <c r="AR28" s="121"/>
      <c r="AS28" s="162"/>
      <c r="AT28" s="163"/>
    </row>
    <row r="29" spans="1:46" ht="15">
      <c r="A29" s="151" t="s">
        <v>45</v>
      </c>
      <c r="B29" s="152" t="s">
        <v>99</v>
      </c>
      <c r="C29" s="152">
        <v>5</v>
      </c>
      <c r="D29" s="153">
        <v>1</v>
      </c>
      <c r="E29" s="151" t="s">
        <v>112</v>
      </c>
      <c r="F29" s="152"/>
      <c r="G29" s="154">
        <f t="shared" si="25"/>
        <v>546.04</v>
      </c>
      <c r="H29" s="154">
        <f t="shared" si="25"/>
        <v>546.09</v>
      </c>
      <c r="I29" s="109">
        <f t="shared" si="1"/>
        <v>546.065</v>
      </c>
      <c r="J29" s="155">
        <v>54</v>
      </c>
      <c r="K29" s="156">
        <v>59</v>
      </c>
      <c r="L29" s="153">
        <f t="shared" si="2"/>
        <v>56.5</v>
      </c>
      <c r="M29" s="151">
        <v>270</v>
      </c>
      <c r="N29" s="152">
        <v>29</v>
      </c>
      <c r="O29" s="152">
        <v>180</v>
      </c>
      <c r="P29" s="152">
        <v>16</v>
      </c>
      <c r="Q29" s="152"/>
      <c r="R29" s="153"/>
      <c r="S29" s="157">
        <f t="shared" si="3"/>
        <v>-0.24107786342134127</v>
      </c>
      <c r="T29" s="158">
        <f t="shared" si="4"/>
        <v>-0.4660289177652063</v>
      </c>
      <c r="U29" s="158">
        <f t="shared" si="5"/>
        <v>-0.8407384229858913</v>
      </c>
      <c r="V29" s="149">
        <f t="shared" si="6"/>
        <v>242.6473673854735</v>
      </c>
      <c r="W29" s="115">
        <f t="shared" si="7"/>
        <v>-58.03235298804938</v>
      </c>
      <c r="X29" s="159">
        <f t="shared" si="8"/>
        <v>242.6473673854735</v>
      </c>
      <c r="Y29" s="149">
        <f t="shared" si="9"/>
        <v>152.6473673854735</v>
      </c>
      <c r="Z29" s="115">
        <f t="shared" si="10"/>
        <v>31.967647011950618</v>
      </c>
      <c r="AA29" s="160">
        <f t="shared" si="11"/>
        <v>113.69436482955797</v>
      </c>
      <c r="AB29" s="119">
        <f t="shared" si="12"/>
        <v>113.69436482955797</v>
      </c>
      <c r="AC29" s="120">
        <f t="shared" si="13"/>
        <v>-0.4018577172100022</v>
      </c>
      <c r="AD29" s="120">
        <f t="shared" si="14"/>
        <v>0.7768333201114433</v>
      </c>
      <c r="AE29" s="120">
        <f t="shared" si="15"/>
        <v>0.4848096202463372</v>
      </c>
      <c r="AF29" s="121">
        <f t="shared" si="16"/>
        <v>270</v>
      </c>
      <c r="AG29" s="119">
        <f t="shared" si="17"/>
        <v>29.000000000000014</v>
      </c>
      <c r="AH29" s="122">
        <f t="shared" si="18"/>
        <v>-5.934573788199905E-05</v>
      </c>
      <c r="AI29" s="151">
        <v>54</v>
      </c>
      <c r="AJ29" s="153">
        <v>59</v>
      </c>
      <c r="AK29" s="151">
        <v>281.4</v>
      </c>
      <c r="AL29" s="152">
        <v>48.3</v>
      </c>
      <c r="AM29" s="159">
        <f t="shared" si="19"/>
        <v>321.2473673854735</v>
      </c>
      <c r="AN29" s="149">
        <f t="shared" si="20"/>
        <v>231.24736738547352</v>
      </c>
      <c r="AO29" s="115">
        <f t="shared" si="21"/>
        <v>31.967647011950618</v>
      </c>
      <c r="AP29" s="121"/>
      <c r="AQ29" s="161"/>
      <c r="AR29" s="121"/>
      <c r="AS29" s="162"/>
      <c r="AT29" s="163"/>
    </row>
    <row r="30" spans="1:46" ht="15">
      <c r="A30" s="151" t="s">
        <v>45</v>
      </c>
      <c r="B30" s="152" t="s">
        <v>99</v>
      </c>
      <c r="C30" s="152">
        <v>5</v>
      </c>
      <c r="D30" s="153">
        <v>5</v>
      </c>
      <c r="E30" s="151" t="s">
        <v>47</v>
      </c>
      <c r="F30" s="152" t="s">
        <v>104</v>
      </c>
      <c r="G30" s="154">
        <f aca="true" t="shared" si="26" ref="G30:H32">J30/100+549.52</f>
        <v>549.78</v>
      </c>
      <c r="H30" s="154">
        <f t="shared" si="26"/>
        <v>549.85</v>
      </c>
      <c r="I30" s="109">
        <f t="shared" si="1"/>
        <v>549.815</v>
      </c>
      <c r="J30" s="155">
        <v>26</v>
      </c>
      <c r="K30" s="156">
        <v>33</v>
      </c>
      <c r="L30" s="153">
        <f t="shared" si="2"/>
        <v>29.5</v>
      </c>
      <c r="M30" s="151">
        <v>270</v>
      </c>
      <c r="N30" s="152">
        <v>56</v>
      </c>
      <c r="O30" s="152">
        <v>180</v>
      </c>
      <c r="P30" s="152">
        <v>54</v>
      </c>
      <c r="Q30" s="152"/>
      <c r="R30" s="153"/>
      <c r="S30" s="157">
        <f t="shared" si="3"/>
        <v>-0.45239656204170375</v>
      </c>
      <c r="T30" s="158">
        <f t="shared" si="4"/>
        <v>-0.4872960587442047</v>
      </c>
      <c r="U30" s="158">
        <f t="shared" si="5"/>
        <v>-0.3286853418467135</v>
      </c>
      <c r="V30" s="149">
        <f t="shared" si="6"/>
        <v>227.12694579124098</v>
      </c>
      <c r="W30" s="115">
        <f t="shared" si="7"/>
        <v>-26.30421424428248</v>
      </c>
      <c r="X30" s="159">
        <f t="shared" si="8"/>
        <v>227.12694579124098</v>
      </c>
      <c r="Y30" s="149">
        <f t="shared" si="9"/>
        <v>137.12694579124098</v>
      </c>
      <c r="Z30" s="115">
        <f t="shared" si="10"/>
        <v>63.69578575571752</v>
      </c>
      <c r="AA30" s="160">
        <f t="shared" si="11"/>
        <v>112.36227751477396</v>
      </c>
      <c r="AB30" s="119">
        <f t="shared" si="12"/>
        <v>112.36227751477396</v>
      </c>
      <c r="AC30" s="120">
        <f t="shared" si="13"/>
        <v>-0.380461589735237</v>
      </c>
      <c r="AD30" s="120">
        <f t="shared" si="14"/>
        <v>0.4098117641407825</v>
      </c>
      <c r="AE30" s="120">
        <f t="shared" si="15"/>
        <v>0.8290375725550416</v>
      </c>
      <c r="AF30" s="121">
        <f t="shared" si="16"/>
        <v>270</v>
      </c>
      <c r="AG30" s="119">
        <f t="shared" si="17"/>
        <v>56</v>
      </c>
      <c r="AH30" s="122">
        <f t="shared" si="18"/>
        <v>-9.607743960702615E-05</v>
      </c>
      <c r="AI30" s="151">
        <v>19</v>
      </c>
      <c r="AJ30" s="153">
        <v>50</v>
      </c>
      <c r="AK30" s="151">
        <v>354.4</v>
      </c>
      <c r="AL30" s="152">
        <v>46.3</v>
      </c>
      <c r="AM30" s="159">
        <f t="shared" si="19"/>
        <v>232.726945791241</v>
      </c>
      <c r="AN30" s="149">
        <f t="shared" si="20"/>
        <v>142.726945791241</v>
      </c>
      <c r="AO30" s="115">
        <f t="shared" si="21"/>
        <v>63.69578575571752</v>
      </c>
      <c r="AP30" s="121"/>
      <c r="AQ30" s="161"/>
      <c r="AR30" s="121"/>
      <c r="AS30" s="162"/>
      <c r="AT30" s="163"/>
    </row>
    <row r="31" spans="1:46" ht="15">
      <c r="A31" s="151" t="s">
        <v>45</v>
      </c>
      <c r="B31" s="152" t="s">
        <v>99</v>
      </c>
      <c r="C31" s="152">
        <v>5</v>
      </c>
      <c r="D31" s="153">
        <v>5</v>
      </c>
      <c r="E31" s="151" t="s">
        <v>47</v>
      </c>
      <c r="F31" s="152" t="s">
        <v>104</v>
      </c>
      <c r="G31" s="154">
        <f t="shared" si="26"/>
        <v>549.78</v>
      </c>
      <c r="H31" s="154">
        <f t="shared" si="26"/>
        <v>549.85</v>
      </c>
      <c r="I31" s="109">
        <f t="shared" si="1"/>
        <v>549.815</v>
      </c>
      <c r="J31" s="155">
        <v>26</v>
      </c>
      <c r="K31" s="156">
        <v>33</v>
      </c>
      <c r="L31" s="153">
        <f t="shared" si="2"/>
        <v>29.5</v>
      </c>
      <c r="M31" s="151">
        <v>270</v>
      </c>
      <c r="N31" s="152">
        <v>60</v>
      </c>
      <c r="O31" s="152">
        <v>180</v>
      </c>
      <c r="P31" s="152">
        <v>52</v>
      </c>
      <c r="Q31" s="152"/>
      <c r="R31" s="153"/>
      <c r="S31" s="157">
        <f t="shared" si="3"/>
        <v>-0.3940053768033612</v>
      </c>
      <c r="T31" s="158">
        <f t="shared" si="4"/>
        <v>-0.5331784777634263</v>
      </c>
      <c r="U31" s="158">
        <f t="shared" si="5"/>
        <v>-0.3078307376628292</v>
      </c>
      <c r="V31" s="149">
        <f t="shared" si="6"/>
        <v>233.53653850710637</v>
      </c>
      <c r="W31" s="115">
        <f t="shared" si="7"/>
        <v>-24.906662284543152</v>
      </c>
      <c r="X31" s="159">
        <f t="shared" si="8"/>
        <v>233.53653850710637</v>
      </c>
      <c r="Y31" s="149">
        <f t="shared" si="9"/>
        <v>143.53653850710637</v>
      </c>
      <c r="Z31" s="115">
        <f t="shared" si="10"/>
        <v>65.09333771545684</v>
      </c>
      <c r="AA31" s="160">
        <f t="shared" si="11"/>
        <v>107.28680666863836</v>
      </c>
      <c r="AB31" s="119">
        <f t="shared" si="12"/>
        <v>107.28680666863836</v>
      </c>
      <c r="AC31" s="120">
        <f t="shared" si="13"/>
        <v>-0.2971550162225372</v>
      </c>
      <c r="AD31" s="120">
        <f t="shared" si="14"/>
        <v>0.4021180129436931</v>
      </c>
      <c r="AE31" s="120">
        <f t="shared" si="15"/>
        <v>0.8660254037844384</v>
      </c>
      <c r="AF31" s="121">
        <f t="shared" si="16"/>
        <v>270</v>
      </c>
      <c r="AG31" s="119">
        <f t="shared" si="17"/>
        <v>59.99999999999997</v>
      </c>
      <c r="AH31" s="122">
        <f t="shared" si="18"/>
        <v>-7.838806588983159E-05</v>
      </c>
      <c r="AI31" s="151">
        <v>19</v>
      </c>
      <c r="AJ31" s="153">
        <v>50</v>
      </c>
      <c r="AK31" s="151">
        <v>354.4</v>
      </c>
      <c r="AL31" s="152">
        <v>46.3</v>
      </c>
      <c r="AM31" s="159">
        <f t="shared" si="19"/>
        <v>239.1365385071064</v>
      </c>
      <c r="AN31" s="149">
        <f t="shared" si="20"/>
        <v>149.1365385071064</v>
      </c>
      <c r="AO31" s="115">
        <f t="shared" si="21"/>
        <v>65.09333771545684</v>
      </c>
      <c r="AP31" s="121"/>
      <c r="AQ31" s="161"/>
      <c r="AR31" s="121"/>
      <c r="AS31" s="162"/>
      <c r="AT31" s="163"/>
    </row>
    <row r="32" spans="1:46" ht="15">
      <c r="A32" s="151" t="s">
        <v>45</v>
      </c>
      <c r="B32" s="152" t="s">
        <v>99</v>
      </c>
      <c r="C32" s="152">
        <v>5</v>
      </c>
      <c r="D32" s="153">
        <v>5</v>
      </c>
      <c r="E32" s="151" t="s">
        <v>48</v>
      </c>
      <c r="F32" s="152"/>
      <c r="G32" s="154">
        <f t="shared" si="26"/>
        <v>549.88</v>
      </c>
      <c r="H32" s="154">
        <f t="shared" si="26"/>
        <v>549.91</v>
      </c>
      <c r="I32" s="109">
        <f t="shared" si="1"/>
        <v>549.895</v>
      </c>
      <c r="J32" s="155">
        <v>36</v>
      </c>
      <c r="K32" s="156">
        <v>39</v>
      </c>
      <c r="L32" s="153">
        <f t="shared" si="2"/>
        <v>37.5</v>
      </c>
      <c r="M32" s="151">
        <v>270</v>
      </c>
      <c r="N32" s="152">
        <v>35</v>
      </c>
      <c r="O32" s="152">
        <v>140</v>
      </c>
      <c r="P32" s="152">
        <v>0</v>
      </c>
      <c r="Q32" s="152"/>
      <c r="R32" s="153"/>
      <c r="S32" s="157">
        <f t="shared" si="3"/>
        <v>-0.36868782649461246</v>
      </c>
      <c r="T32" s="158">
        <f t="shared" si="4"/>
        <v>-0.4393850417707049</v>
      </c>
      <c r="U32" s="158">
        <f t="shared" si="5"/>
        <v>-0.6275068715971331</v>
      </c>
      <c r="V32" s="149">
        <f t="shared" si="6"/>
        <v>230</v>
      </c>
      <c r="W32" s="115">
        <f t="shared" si="7"/>
        <v>-47.570939247589244</v>
      </c>
      <c r="X32" s="159">
        <f t="shared" si="8"/>
        <v>230</v>
      </c>
      <c r="Y32" s="149">
        <f t="shared" si="9"/>
        <v>140</v>
      </c>
      <c r="Z32" s="115">
        <f t="shared" si="10"/>
        <v>42.429060752410756</v>
      </c>
      <c r="AA32" s="160">
        <f t="shared" si="11"/>
        <v>121.77202613917092</v>
      </c>
      <c r="AB32" s="119">
        <f t="shared" si="12"/>
        <v>121.77202613917092</v>
      </c>
      <c r="AC32" s="120">
        <f t="shared" si="13"/>
        <v>-0.5265407845183634</v>
      </c>
      <c r="AD32" s="120">
        <f t="shared" si="14"/>
        <v>0.6275068715971333</v>
      </c>
      <c r="AE32" s="120">
        <f t="shared" si="15"/>
        <v>0.5735764363510458</v>
      </c>
      <c r="AF32" s="121">
        <f t="shared" si="16"/>
        <v>270</v>
      </c>
      <c r="AG32" s="119">
        <f t="shared" si="17"/>
        <v>34.99999999999998</v>
      </c>
      <c r="AH32" s="122">
        <f t="shared" si="18"/>
        <v>-9.199509788161037E-05</v>
      </c>
      <c r="AI32" s="151">
        <v>19</v>
      </c>
      <c r="AJ32" s="153">
        <v>50</v>
      </c>
      <c r="AK32" s="151">
        <v>354.4</v>
      </c>
      <c r="AL32" s="152">
        <v>46.3</v>
      </c>
      <c r="AM32" s="159">
        <f t="shared" si="19"/>
        <v>235.60000000000002</v>
      </c>
      <c r="AN32" s="149">
        <f t="shared" si="20"/>
        <v>145.60000000000002</v>
      </c>
      <c r="AO32" s="115">
        <f t="shared" si="21"/>
        <v>42.429060752410756</v>
      </c>
      <c r="AP32" s="121"/>
      <c r="AQ32" s="161"/>
      <c r="AR32" s="121"/>
      <c r="AS32" s="162"/>
      <c r="AT32" s="163"/>
    </row>
    <row r="33" spans="1:46" ht="15">
      <c r="A33" s="151" t="s">
        <v>45</v>
      </c>
      <c r="B33" s="152" t="s">
        <v>99</v>
      </c>
      <c r="C33" s="152">
        <v>6</v>
      </c>
      <c r="D33" s="153">
        <v>2</v>
      </c>
      <c r="E33" s="151" t="s">
        <v>112</v>
      </c>
      <c r="F33" s="152"/>
      <c r="G33" s="154">
        <f aca="true" t="shared" si="27" ref="G33:H36">J33/100+556.4</f>
        <v>556.9399999999999</v>
      </c>
      <c r="H33" s="154">
        <f t="shared" si="27"/>
        <v>557</v>
      </c>
      <c r="I33" s="109">
        <f t="shared" si="1"/>
        <v>556.97</v>
      </c>
      <c r="J33" s="155">
        <v>54</v>
      </c>
      <c r="K33" s="156">
        <v>60</v>
      </c>
      <c r="L33" s="153">
        <f t="shared" si="2"/>
        <v>57</v>
      </c>
      <c r="M33" s="151">
        <v>90</v>
      </c>
      <c r="N33" s="152">
        <v>8</v>
      </c>
      <c r="O33" s="152"/>
      <c r="P33" s="152"/>
      <c r="Q33" s="152"/>
      <c r="R33" s="153"/>
      <c r="S33" s="157">
        <f t="shared" si="3"/>
        <v>0</v>
      </c>
      <c r="T33" s="158">
        <f t="shared" si="4"/>
        <v>0.13917310096006544</v>
      </c>
      <c r="U33" s="158">
        <f t="shared" si="5"/>
        <v>-0.9902680687415704</v>
      </c>
      <c r="V33" s="149">
        <f t="shared" si="6"/>
        <v>90</v>
      </c>
      <c r="W33" s="115">
        <f t="shared" si="7"/>
        <v>-82.00000000000003</v>
      </c>
      <c r="X33" s="159">
        <f t="shared" si="8"/>
        <v>90</v>
      </c>
      <c r="Y33" s="149">
        <f t="shared" si="9"/>
        <v>0</v>
      </c>
      <c r="Z33" s="115">
        <f t="shared" si="10"/>
        <v>7.999999999999972</v>
      </c>
      <c r="AA33" s="160">
        <f t="shared" si="11"/>
        <v>90</v>
      </c>
      <c r="AB33" s="119">
        <f t="shared" si="12"/>
        <v>90</v>
      </c>
      <c r="AC33" s="120">
        <f t="shared" si="13"/>
        <v>6.1257422745431E-17</v>
      </c>
      <c r="AD33" s="120">
        <f t="shared" si="14"/>
        <v>0.9902680687415704</v>
      </c>
      <c r="AE33" s="120">
        <f t="shared" si="15"/>
        <v>0.13917310096006494</v>
      </c>
      <c r="AF33" s="121">
        <f t="shared" si="16"/>
        <v>90</v>
      </c>
      <c r="AG33" s="119">
        <f t="shared" si="17"/>
        <v>7.999999999999972</v>
      </c>
      <c r="AH33" s="122">
        <f t="shared" si="18"/>
        <v>2.596978373921493E-21</v>
      </c>
      <c r="AI33" s="151">
        <v>54</v>
      </c>
      <c r="AJ33" s="153">
        <v>114</v>
      </c>
      <c r="AK33" s="151">
        <v>243.2</v>
      </c>
      <c r="AL33" s="152">
        <v>-55</v>
      </c>
      <c r="AM33" s="159">
        <f t="shared" si="19"/>
        <v>26.80000000000001</v>
      </c>
      <c r="AN33" s="149">
        <f t="shared" si="20"/>
        <v>296.8</v>
      </c>
      <c r="AO33" s="115">
        <f t="shared" si="21"/>
        <v>7.999999999999972</v>
      </c>
      <c r="AP33" s="121"/>
      <c r="AQ33" s="161"/>
      <c r="AR33" s="121"/>
      <c r="AS33" s="162"/>
      <c r="AT33" s="163"/>
    </row>
    <row r="34" spans="1:46" ht="15">
      <c r="A34" s="151" t="s">
        <v>45</v>
      </c>
      <c r="B34" s="152" t="s">
        <v>99</v>
      </c>
      <c r="C34" s="152">
        <v>6</v>
      </c>
      <c r="D34" s="153">
        <v>2</v>
      </c>
      <c r="E34" s="151" t="s">
        <v>112</v>
      </c>
      <c r="F34" s="152"/>
      <c r="G34" s="154">
        <f t="shared" si="27"/>
        <v>556.9399999999999</v>
      </c>
      <c r="H34" s="154">
        <f t="shared" si="27"/>
        <v>557</v>
      </c>
      <c r="I34" s="109">
        <f t="shared" si="1"/>
        <v>556.97</v>
      </c>
      <c r="J34" s="155">
        <v>54</v>
      </c>
      <c r="K34" s="156">
        <v>60</v>
      </c>
      <c r="L34" s="153">
        <f t="shared" si="2"/>
        <v>57</v>
      </c>
      <c r="M34" s="151">
        <v>90</v>
      </c>
      <c r="N34" s="152">
        <v>14</v>
      </c>
      <c r="O34" s="152"/>
      <c r="P34" s="152"/>
      <c r="Q34" s="152"/>
      <c r="R34" s="153"/>
      <c r="S34" s="157">
        <f t="shared" si="3"/>
        <v>0</v>
      </c>
      <c r="T34" s="158">
        <f t="shared" si="4"/>
        <v>0.24192189559966773</v>
      </c>
      <c r="U34" s="158">
        <f t="shared" si="5"/>
        <v>-0.9702957262759965</v>
      </c>
      <c r="V34" s="149">
        <f t="shared" si="6"/>
        <v>90</v>
      </c>
      <c r="W34" s="115">
        <f t="shared" si="7"/>
        <v>-75.99999999999997</v>
      </c>
      <c r="X34" s="159">
        <f t="shared" si="8"/>
        <v>90</v>
      </c>
      <c r="Y34" s="149">
        <f t="shared" si="9"/>
        <v>0</v>
      </c>
      <c r="Z34" s="115">
        <f t="shared" si="10"/>
        <v>14.000000000000028</v>
      </c>
      <c r="AA34" s="160">
        <f t="shared" si="11"/>
        <v>90</v>
      </c>
      <c r="AB34" s="119">
        <f t="shared" si="12"/>
        <v>90</v>
      </c>
      <c r="AC34" s="120">
        <f t="shared" si="13"/>
        <v>6.1257422745431E-17</v>
      </c>
      <c r="AD34" s="120">
        <f t="shared" si="14"/>
        <v>0.9702957262759964</v>
      </c>
      <c r="AE34" s="120">
        <f t="shared" si="15"/>
        <v>0.2419218955996682</v>
      </c>
      <c r="AF34" s="121">
        <f t="shared" si="16"/>
        <v>90</v>
      </c>
      <c r="AG34" s="119">
        <f t="shared" si="17"/>
        <v>14.00000000000003</v>
      </c>
      <c r="AH34" s="122">
        <f t="shared" si="18"/>
        <v>4.5142680426921586E-21</v>
      </c>
      <c r="AI34" s="151">
        <v>54</v>
      </c>
      <c r="AJ34" s="153">
        <v>114</v>
      </c>
      <c r="AK34" s="151">
        <v>243.2</v>
      </c>
      <c r="AL34" s="152">
        <v>-55</v>
      </c>
      <c r="AM34" s="159">
        <f t="shared" si="19"/>
        <v>26.80000000000001</v>
      </c>
      <c r="AN34" s="149">
        <f t="shared" si="20"/>
        <v>296.8</v>
      </c>
      <c r="AO34" s="115">
        <f t="shared" si="21"/>
        <v>14.000000000000028</v>
      </c>
      <c r="AP34" s="121"/>
      <c r="AQ34" s="161"/>
      <c r="AR34" s="121"/>
      <c r="AS34" s="162"/>
      <c r="AT34" s="163"/>
    </row>
    <row r="35" spans="1:46" ht="15">
      <c r="A35" s="151" t="s">
        <v>45</v>
      </c>
      <c r="B35" s="152" t="s">
        <v>99</v>
      </c>
      <c r="C35" s="152">
        <v>6</v>
      </c>
      <c r="D35" s="153">
        <v>2</v>
      </c>
      <c r="E35" s="151" t="s">
        <v>112</v>
      </c>
      <c r="F35" s="152"/>
      <c r="G35" s="154">
        <f t="shared" si="27"/>
        <v>557</v>
      </c>
      <c r="H35" s="154">
        <f t="shared" si="27"/>
        <v>557.1</v>
      </c>
      <c r="I35" s="109">
        <f aca="true" t="shared" si="28" ref="I35:I66">(G35+H35)/2</f>
        <v>557.05</v>
      </c>
      <c r="J35" s="155">
        <v>60</v>
      </c>
      <c r="K35" s="156">
        <v>70</v>
      </c>
      <c r="L35" s="153">
        <f aca="true" t="shared" si="29" ref="L35:L66">(+J35+K35)/2</f>
        <v>65</v>
      </c>
      <c r="M35" s="151">
        <v>0</v>
      </c>
      <c r="N35" s="152">
        <v>80</v>
      </c>
      <c r="O35" s="152">
        <v>90</v>
      </c>
      <c r="P35" s="152">
        <v>66</v>
      </c>
      <c r="Q35" s="152"/>
      <c r="R35" s="153"/>
      <c r="S35" s="157">
        <f aca="true" t="shared" si="30" ref="S35:S66">COS(N35*PI()/180)*SIN(M35*PI()/180)*(SIN(P35*PI()/180))-(COS(P35*PI()/180)*SIN(O35*PI()/180))*(SIN(N35*PI()/180))</f>
        <v>-0.40055739953520725</v>
      </c>
      <c r="T35" s="158">
        <f aca="true" t="shared" si="31" ref="T35:T66">(SIN(N35*PI()/180))*(COS(P35*PI()/180)*COS(O35*PI()/180))-(SIN(P35*PI()/180))*(COS(N35*PI()/180)*COS(M35*PI()/180))</f>
        <v>-0.15863550393553957</v>
      </c>
      <c r="U35" s="158">
        <f aca="true" t="shared" si="32" ref="U35:U66">(COS(N35*PI()/180)*COS(M35*PI()/180))*(COS(P35*PI()/180)*SIN(O35*PI()/180))-(COS(N35*PI()/180)*SIN(M35*PI()/180))*(COS(P35*PI()/180)*COS(O35*PI()/180))</f>
        <v>0.07062907686047741</v>
      </c>
      <c r="V35" s="149">
        <f aca="true" t="shared" si="33" ref="V35:V66">IF(S35=0,IF(T35&gt;=0,90,270),IF(S35&gt;0,IF(T35&gt;=0,ATAN(T35/S35)*180/PI(),ATAN(T35/S35)*180/PI()+360),ATAN(T35/S35)*180/PI()+180))</f>
        <v>201.6053924752779</v>
      </c>
      <c r="W35" s="115">
        <f aca="true" t="shared" si="34" ref="W35:W66">ASIN(U35/SQRT(S35^2+T35^2+U35^2))*180/PI()</f>
        <v>9.310171417434791</v>
      </c>
      <c r="X35" s="159">
        <f aca="true" t="shared" si="35" ref="X35:X66">IF(U35&lt;0,V35,IF(V35+180&gt;=360,V35-180,V35+180))</f>
        <v>21.60539247527791</v>
      </c>
      <c r="Y35" s="149">
        <f aca="true" t="shared" si="36" ref="Y35:Y66">IF(X35-90&lt;0,X35+270,X35-90)</f>
        <v>291.6053924752779</v>
      </c>
      <c r="Z35" s="115">
        <f aca="true" t="shared" si="37" ref="Z35:Z66">IF(U35&lt;0,90+W35,90-W35)</f>
        <v>80.68982858256521</v>
      </c>
      <c r="AA35" s="160">
        <f aca="true" t="shared" si="38" ref="AA35:AA66">IF(-T35&lt;0,180-ACOS(SIN((X35-90)*PI()/180)*U35/SQRT(T35^2+U35^2))*180/PI(),ACOS(SIN((X35-90)*PI()/180)*U35/SQRT(T35^2+U35^2))*180/PI())</f>
        <v>112.21975982094574</v>
      </c>
      <c r="AB35" s="119">
        <f aca="true" t="shared" si="39" ref="AB35:AB66">IF(R35=90,IF(AA35-Q35&lt;0,AA35-Q35+180,AA35-Q35),IF(AA35+Q35&gt;180,AA35+Q35-180,AA35+Q35))</f>
        <v>112.21975982094574</v>
      </c>
      <c r="AC35" s="120">
        <f aca="true" t="shared" si="40" ref="AC35:AC66">COS(AB35*PI()/180)</f>
        <v>-0.378160072974302</v>
      </c>
      <c r="AD35" s="120">
        <f aca="true" t="shared" si="41" ref="AD35:AD66">SIN(AB35*PI()/180)*COS(Z35*PI()/180)</f>
        <v>0.14976533653900476</v>
      </c>
      <c r="AE35" s="120">
        <f aca="true" t="shared" si="42" ref="AE35:AE66">SIN(AB35*PI()/180)*SIN(Z35*PI()/180)</f>
        <v>0.9135454576426009</v>
      </c>
      <c r="AF35" s="121">
        <f aca="true" t="shared" si="43" ref="AF35:AF66">IF(IF(AC35=0,IF(AD35&gt;=0,90,270),IF(AC35&gt;0,IF(AD35&gt;=0,ATAN(AD35/AC35)*180/PI(),ATAN(AD35/AC35)*180/PI()+360),ATAN(AD35/AC35)*180/PI()+180))-(360-Y35)&lt;0,IF(AC35=0,IF(AD35&gt;=0,90,270),IF(AC35&gt;0,IF(AD35&gt;=0,ATAN(AD35/AC35)*180/PI(),ATAN(AD35/AC35)*180/PI()+360),ATAN(AD35/AC35)*180/PI()+180))+Y35,IF(AC35=0,IF(AD35&gt;=0,90,270),IF(AC35&gt;0,IF(AD35&gt;=0,ATAN(AD35/AC35)*180/PI(),ATAN(AD35/AC35)*180/PI()+360),ATAN(AD35/AC35)*180/PI()+180))-(360-Y35))</f>
        <v>89.99999999999994</v>
      </c>
      <c r="AG35" s="119">
        <f aca="true" t="shared" si="44" ref="AG35:AG66">ASIN(AE35/SQRT(AC35^2+AD35^2+AE35^2))*180/PI()</f>
        <v>66.00000000000001</v>
      </c>
      <c r="AH35" s="122">
        <f aca="true" t="shared" si="45" ref="AH35:AH66">SIN(AE35*PI()/180)*SIN(AC35*PI()/180)</f>
        <v>-0.00010522986573375201</v>
      </c>
      <c r="AI35" s="151">
        <v>54</v>
      </c>
      <c r="AJ35" s="153">
        <v>114</v>
      </c>
      <c r="AK35" s="151">
        <v>243.2</v>
      </c>
      <c r="AL35" s="152">
        <v>-55</v>
      </c>
      <c r="AM35" s="159">
        <f aca="true" t="shared" si="46" ref="AM35:AM66">IF(AL35&gt;=0,IF(X35&gt;=AK35,X35-AK35,X35-AK35+360),IF((X35-AK35-180)&lt;0,IF(X35-AK35+180&lt;0,X35-AK35+540,X35-AK35+180),X35-AK35-180))</f>
        <v>318.40539247527795</v>
      </c>
      <c r="AN35" s="149">
        <f aca="true" t="shared" si="47" ref="AN35:AN66">IF(AM35-90&lt;0,AM35+270,AM35-90)</f>
        <v>228.40539247527795</v>
      </c>
      <c r="AO35" s="115">
        <f aca="true" t="shared" si="48" ref="AO35:AO66">Z35</f>
        <v>80.68982858256521</v>
      </c>
      <c r="AP35" s="121"/>
      <c r="AQ35" s="161"/>
      <c r="AR35" s="121"/>
      <c r="AS35" s="162"/>
      <c r="AT35" s="163"/>
    </row>
    <row r="36" spans="1:46" ht="15">
      <c r="A36" s="151" t="s">
        <v>45</v>
      </c>
      <c r="B36" s="152" t="s">
        <v>99</v>
      </c>
      <c r="C36" s="152">
        <v>6</v>
      </c>
      <c r="D36" s="153">
        <v>2</v>
      </c>
      <c r="E36" s="151" t="s">
        <v>48</v>
      </c>
      <c r="F36" s="152"/>
      <c r="G36" s="154">
        <f t="shared" si="27"/>
        <v>557.39</v>
      </c>
      <c r="H36" s="154">
        <f t="shared" si="27"/>
        <v>557.39</v>
      </c>
      <c r="I36" s="109">
        <f t="shared" si="28"/>
        <v>557.39</v>
      </c>
      <c r="J36" s="155">
        <v>99</v>
      </c>
      <c r="K36" s="156">
        <v>99</v>
      </c>
      <c r="L36" s="153">
        <f t="shared" si="29"/>
        <v>99</v>
      </c>
      <c r="M36" s="151">
        <v>90</v>
      </c>
      <c r="N36" s="152">
        <v>45</v>
      </c>
      <c r="O36" s="152">
        <v>0</v>
      </c>
      <c r="P36" s="152">
        <v>24</v>
      </c>
      <c r="Q36" s="152"/>
      <c r="R36" s="153"/>
      <c r="S36" s="157">
        <f t="shared" si="30"/>
        <v>0.28760623847595074</v>
      </c>
      <c r="T36" s="158">
        <f t="shared" si="31"/>
        <v>0.645974188021251</v>
      </c>
      <c r="U36" s="158">
        <f t="shared" si="32"/>
        <v>-0.6459741880212511</v>
      </c>
      <c r="V36" s="149">
        <f t="shared" si="33"/>
        <v>66</v>
      </c>
      <c r="W36" s="115">
        <f t="shared" si="34"/>
        <v>-42.413119163753095</v>
      </c>
      <c r="X36" s="159">
        <f t="shared" si="35"/>
        <v>66</v>
      </c>
      <c r="Y36" s="149">
        <f t="shared" si="36"/>
        <v>336</v>
      </c>
      <c r="Z36" s="115">
        <f t="shared" si="37"/>
        <v>47.586880836246905</v>
      </c>
      <c r="AA36" s="160">
        <f t="shared" si="38"/>
        <v>106.71469915593622</v>
      </c>
      <c r="AB36" s="119">
        <f t="shared" si="39"/>
        <v>106.71469915593622</v>
      </c>
      <c r="AC36" s="120">
        <f t="shared" si="40"/>
        <v>-0.28760623847595057</v>
      </c>
      <c r="AD36" s="120">
        <f t="shared" si="41"/>
        <v>0.6459741880212511</v>
      </c>
      <c r="AE36" s="120">
        <f t="shared" si="42"/>
        <v>0.7071067811865476</v>
      </c>
      <c r="AF36" s="121">
        <f t="shared" si="43"/>
        <v>89.99999999999999</v>
      </c>
      <c r="AG36" s="119">
        <f t="shared" si="44"/>
        <v>45.00000000000001</v>
      </c>
      <c r="AH36" s="122">
        <f t="shared" si="45"/>
        <v>-6.194770065798692E-05</v>
      </c>
      <c r="AI36" s="151">
        <v>54</v>
      </c>
      <c r="AJ36" s="153">
        <v>114</v>
      </c>
      <c r="AK36" s="151">
        <v>243.2</v>
      </c>
      <c r="AL36" s="152">
        <v>-55</v>
      </c>
      <c r="AM36" s="159">
        <f t="shared" si="46"/>
        <v>2.8000000000000114</v>
      </c>
      <c r="AN36" s="149">
        <f t="shared" si="47"/>
        <v>272.8</v>
      </c>
      <c r="AO36" s="115">
        <f t="shared" si="48"/>
        <v>47.586880836246905</v>
      </c>
      <c r="AP36" s="121"/>
      <c r="AQ36" s="161"/>
      <c r="AR36" s="121"/>
      <c r="AS36" s="162"/>
      <c r="AT36" s="163"/>
    </row>
    <row r="37" spans="1:46" ht="15">
      <c r="A37" s="151" t="s">
        <v>45</v>
      </c>
      <c r="B37" s="152" t="s">
        <v>99</v>
      </c>
      <c r="C37" s="152">
        <v>8</v>
      </c>
      <c r="D37" s="153">
        <v>1</v>
      </c>
      <c r="E37" s="151" t="s">
        <v>48</v>
      </c>
      <c r="F37" s="152"/>
      <c r="G37" s="154">
        <f aca="true" t="shared" si="49" ref="G37:H41">J37/100+574</f>
        <v>574.05</v>
      </c>
      <c r="H37" s="154">
        <f t="shared" si="49"/>
        <v>574.06</v>
      </c>
      <c r="I37" s="109">
        <f t="shared" si="28"/>
        <v>574.055</v>
      </c>
      <c r="J37" s="155">
        <v>5</v>
      </c>
      <c r="K37" s="156">
        <v>6</v>
      </c>
      <c r="L37" s="153">
        <f t="shared" si="29"/>
        <v>5.5</v>
      </c>
      <c r="M37" s="151">
        <v>90</v>
      </c>
      <c r="N37" s="152">
        <v>0</v>
      </c>
      <c r="O37" s="152">
        <v>180</v>
      </c>
      <c r="P37" s="152">
        <v>7</v>
      </c>
      <c r="Q37" s="152"/>
      <c r="R37" s="153"/>
      <c r="S37" s="157">
        <f t="shared" si="30"/>
        <v>0.12186934340514748</v>
      </c>
      <c r="T37" s="158">
        <f t="shared" si="31"/>
        <v>-7.465401888677223E-18</v>
      </c>
      <c r="U37" s="158">
        <f t="shared" si="32"/>
        <v>0.992546151641322</v>
      </c>
      <c r="V37" s="149">
        <f t="shared" si="33"/>
        <v>360</v>
      </c>
      <c r="W37" s="115">
        <f t="shared" si="34"/>
        <v>82.99999999999997</v>
      </c>
      <c r="X37" s="159">
        <f t="shared" si="35"/>
        <v>180</v>
      </c>
      <c r="Y37" s="149">
        <f t="shared" si="36"/>
        <v>90</v>
      </c>
      <c r="Z37" s="115">
        <f t="shared" si="37"/>
        <v>7.000000000000028</v>
      </c>
      <c r="AA37" s="160">
        <f t="shared" si="38"/>
        <v>0</v>
      </c>
      <c r="AB37" s="119">
        <f t="shared" si="39"/>
        <v>0</v>
      </c>
      <c r="AC37" s="120">
        <f t="shared" si="40"/>
        <v>1</v>
      </c>
      <c r="AD37" s="120">
        <f t="shared" si="41"/>
        <v>0</v>
      </c>
      <c r="AE37" s="120">
        <f t="shared" si="42"/>
        <v>0</v>
      </c>
      <c r="AF37" s="121">
        <f t="shared" si="43"/>
        <v>90</v>
      </c>
      <c r="AG37" s="119">
        <f t="shared" si="44"/>
        <v>0</v>
      </c>
      <c r="AH37" s="122">
        <f t="shared" si="45"/>
        <v>0</v>
      </c>
      <c r="AI37" s="151">
        <v>4</v>
      </c>
      <c r="AJ37" s="153">
        <v>10</v>
      </c>
      <c r="AK37" s="151">
        <v>90.6</v>
      </c>
      <c r="AL37" s="152">
        <v>-64.6</v>
      </c>
      <c r="AM37" s="159">
        <f t="shared" si="46"/>
        <v>269.4</v>
      </c>
      <c r="AN37" s="149">
        <f t="shared" si="47"/>
        <v>179.39999999999998</v>
      </c>
      <c r="AO37" s="115">
        <f t="shared" si="48"/>
        <v>7.000000000000028</v>
      </c>
      <c r="AP37" s="121"/>
      <c r="AQ37" s="161"/>
      <c r="AR37" s="121"/>
      <c r="AS37" s="162"/>
      <c r="AT37" s="163"/>
    </row>
    <row r="38" spans="1:46" ht="15">
      <c r="A38" s="151" t="s">
        <v>45</v>
      </c>
      <c r="B38" s="152" t="s">
        <v>99</v>
      </c>
      <c r="C38" s="152">
        <v>8</v>
      </c>
      <c r="D38" s="153">
        <v>1</v>
      </c>
      <c r="E38" s="151" t="s">
        <v>112</v>
      </c>
      <c r="F38" s="152"/>
      <c r="G38" s="154">
        <f t="shared" si="49"/>
        <v>574.03</v>
      </c>
      <c r="H38" s="154">
        <f t="shared" si="49"/>
        <v>574.1</v>
      </c>
      <c r="I38" s="109">
        <f t="shared" si="28"/>
        <v>574.065</v>
      </c>
      <c r="J38" s="155">
        <v>3</v>
      </c>
      <c r="K38" s="156">
        <v>10</v>
      </c>
      <c r="L38" s="153">
        <f t="shared" si="29"/>
        <v>6.5</v>
      </c>
      <c r="M38" s="151">
        <v>90</v>
      </c>
      <c r="N38" s="152">
        <v>60</v>
      </c>
      <c r="O38" s="152">
        <v>180</v>
      </c>
      <c r="P38" s="152">
        <v>20</v>
      </c>
      <c r="Q38" s="152"/>
      <c r="R38" s="153"/>
      <c r="S38" s="157">
        <f t="shared" si="30"/>
        <v>0.17101007166283427</v>
      </c>
      <c r="T38" s="158">
        <f t="shared" si="31"/>
        <v>-0.8137976813493737</v>
      </c>
      <c r="U38" s="158">
        <f t="shared" si="32"/>
        <v>0.4698463103929543</v>
      </c>
      <c r="V38" s="149">
        <f t="shared" si="33"/>
        <v>281.86736892577426</v>
      </c>
      <c r="W38" s="115">
        <f t="shared" si="34"/>
        <v>29.466888529001213</v>
      </c>
      <c r="X38" s="159">
        <f t="shared" si="35"/>
        <v>101.86736892577426</v>
      </c>
      <c r="Y38" s="149">
        <f t="shared" si="36"/>
        <v>11.867368925774258</v>
      </c>
      <c r="Z38" s="115">
        <f t="shared" si="37"/>
        <v>60.53311147099879</v>
      </c>
      <c r="AA38" s="160">
        <f t="shared" si="38"/>
        <v>84.09822017871706</v>
      </c>
      <c r="AB38" s="119">
        <f t="shared" si="39"/>
        <v>84.09822017871706</v>
      </c>
      <c r="AC38" s="120">
        <f t="shared" si="40"/>
        <v>0.10282343592881134</v>
      </c>
      <c r="AD38" s="120">
        <f t="shared" si="41"/>
        <v>0.4893131318734392</v>
      </c>
      <c r="AE38" s="120">
        <f t="shared" si="42"/>
        <v>0.8660254037844387</v>
      </c>
      <c r="AF38" s="121">
        <f t="shared" si="43"/>
        <v>90.00000000000001</v>
      </c>
      <c r="AG38" s="119">
        <f t="shared" si="44"/>
        <v>60.00000000000001</v>
      </c>
      <c r="AH38" s="122">
        <f t="shared" si="45"/>
        <v>2.7124435523145234E-05</v>
      </c>
      <c r="AI38" s="151">
        <v>4</v>
      </c>
      <c r="AJ38" s="153">
        <v>10</v>
      </c>
      <c r="AK38" s="151">
        <v>90.6</v>
      </c>
      <c r="AL38" s="152">
        <v>-64.6</v>
      </c>
      <c r="AM38" s="159">
        <f t="shared" si="46"/>
        <v>191.26736892577426</v>
      </c>
      <c r="AN38" s="149">
        <f t="shared" si="47"/>
        <v>101.26736892577426</v>
      </c>
      <c r="AO38" s="115">
        <f t="shared" si="48"/>
        <v>60.53311147099879</v>
      </c>
      <c r="AP38" s="121"/>
      <c r="AQ38" s="161"/>
      <c r="AR38" s="121"/>
      <c r="AS38" s="162"/>
      <c r="AT38" s="163"/>
    </row>
    <row r="39" spans="1:46" ht="15">
      <c r="A39" s="151" t="s">
        <v>45</v>
      </c>
      <c r="B39" s="152" t="s">
        <v>99</v>
      </c>
      <c r="C39" s="152">
        <v>8</v>
      </c>
      <c r="D39" s="153">
        <v>1</v>
      </c>
      <c r="E39" s="151" t="s">
        <v>112</v>
      </c>
      <c r="F39" s="152"/>
      <c r="G39" s="154">
        <f t="shared" si="49"/>
        <v>574.09</v>
      </c>
      <c r="H39" s="154">
        <f t="shared" si="49"/>
        <v>574.09</v>
      </c>
      <c r="I39" s="109">
        <f t="shared" si="28"/>
        <v>574.09</v>
      </c>
      <c r="J39" s="155">
        <v>9</v>
      </c>
      <c r="K39" s="156">
        <v>9</v>
      </c>
      <c r="L39" s="153">
        <f t="shared" si="29"/>
        <v>9</v>
      </c>
      <c r="M39" s="151">
        <v>270</v>
      </c>
      <c r="N39" s="152">
        <v>1</v>
      </c>
      <c r="O39" s="152">
        <v>180</v>
      </c>
      <c r="P39" s="152">
        <v>5</v>
      </c>
      <c r="Q39" s="152"/>
      <c r="R39" s="153"/>
      <c r="S39" s="157">
        <f t="shared" si="30"/>
        <v>-0.08714246850588939</v>
      </c>
      <c r="T39" s="158">
        <f t="shared" si="31"/>
        <v>-0.017385994761764067</v>
      </c>
      <c r="U39" s="158">
        <f t="shared" si="32"/>
        <v>-0.9960429728140489</v>
      </c>
      <c r="V39" s="149">
        <f t="shared" si="33"/>
        <v>191.28306182052995</v>
      </c>
      <c r="W39" s="115">
        <f t="shared" si="34"/>
        <v>-84.90197245232014</v>
      </c>
      <c r="X39" s="159">
        <f t="shared" si="35"/>
        <v>191.28306182052995</v>
      </c>
      <c r="Y39" s="149">
        <f t="shared" si="36"/>
        <v>101.28306182052995</v>
      </c>
      <c r="Z39" s="115">
        <f t="shared" si="37"/>
        <v>5.098027547679862</v>
      </c>
      <c r="AA39" s="160">
        <f t="shared" si="38"/>
        <v>168.67328275495868</v>
      </c>
      <c r="AB39" s="119">
        <f t="shared" si="39"/>
        <v>168.67328275495868</v>
      </c>
      <c r="AC39" s="120">
        <f t="shared" si="40"/>
        <v>-0.9805231814879485</v>
      </c>
      <c r="AD39" s="120">
        <f t="shared" si="41"/>
        <v>0.1956264401207042</v>
      </c>
      <c r="AE39" s="120">
        <f t="shared" si="42"/>
        <v>0.017452406437283213</v>
      </c>
      <c r="AF39" s="121">
        <f t="shared" si="43"/>
        <v>270</v>
      </c>
      <c r="AG39" s="119">
        <f t="shared" si="44"/>
        <v>0.9999999999999829</v>
      </c>
      <c r="AH39" s="122">
        <f t="shared" si="45"/>
        <v>-5.212507753146946E-06</v>
      </c>
      <c r="AI39" s="151">
        <v>4</v>
      </c>
      <c r="AJ39" s="153">
        <v>10</v>
      </c>
      <c r="AK39" s="151">
        <v>90.6</v>
      </c>
      <c r="AL39" s="152">
        <v>-64.6</v>
      </c>
      <c r="AM39" s="159">
        <f t="shared" si="46"/>
        <v>280.68306182052993</v>
      </c>
      <c r="AN39" s="149">
        <f t="shared" si="47"/>
        <v>190.68306182052993</v>
      </c>
      <c r="AO39" s="115">
        <f t="shared" si="48"/>
        <v>5.098027547679862</v>
      </c>
      <c r="AP39" s="121"/>
      <c r="AQ39" s="161"/>
      <c r="AR39" s="121"/>
      <c r="AS39" s="162"/>
      <c r="AT39" s="163"/>
    </row>
    <row r="40" spans="1:46" ht="15">
      <c r="A40" s="151" t="s">
        <v>45</v>
      </c>
      <c r="B40" s="152" t="s">
        <v>99</v>
      </c>
      <c r="C40" s="152">
        <v>8</v>
      </c>
      <c r="D40" s="153">
        <v>1</v>
      </c>
      <c r="E40" s="151" t="s">
        <v>112</v>
      </c>
      <c r="F40" s="152"/>
      <c r="G40" s="154">
        <f t="shared" si="49"/>
        <v>575.03</v>
      </c>
      <c r="H40" s="154">
        <f t="shared" si="49"/>
        <v>575.05</v>
      </c>
      <c r="I40" s="109">
        <f t="shared" si="28"/>
        <v>575.04</v>
      </c>
      <c r="J40" s="155">
        <v>103</v>
      </c>
      <c r="K40" s="156">
        <v>105</v>
      </c>
      <c r="L40" s="153">
        <f t="shared" si="29"/>
        <v>104</v>
      </c>
      <c r="M40" s="151">
        <v>270</v>
      </c>
      <c r="N40" s="152">
        <v>54</v>
      </c>
      <c r="O40" s="152">
        <v>40</v>
      </c>
      <c r="P40" s="152">
        <v>0</v>
      </c>
      <c r="Q40" s="152"/>
      <c r="R40" s="153"/>
      <c r="S40" s="157">
        <f t="shared" si="30"/>
        <v>-0.5200261000100609</v>
      </c>
      <c r="T40" s="158">
        <f t="shared" si="31"/>
        <v>0.619742972929746</v>
      </c>
      <c r="U40" s="158">
        <f t="shared" si="32"/>
        <v>0.45026962626593553</v>
      </c>
      <c r="V40" s="149">
        <f t="shared" si="33"/>
        <v>130</v>
      </c>
      <c r="W40" s="115">
        <f t="shared" si="34"/>
        <v>29.098731690019896</v>
      </c>
      <c r="X40" s="159">
        <f t="shared" si="35"/>
        <v>310</v>
      </c>
      <c r="Y40" s="149">
        <f t="shared" si="36"/>
        <v>220</v>
      </c>
      <c r="Z40" s="115">
        <f t="shared" si="37"/>
        <v>60.901268309980104</v>
      </c>
      <c r="AA40" s="160">
        <f t="shared" si="38"/>
        <v>67.80121967974203</v>
      </c>
      <c r="AB40" s="119">
        <f t="shared" si="39"/>
        <v>67.80121967974203</v>
      </c>
      <c r="AC40" s="120">
        <f t="shared" si="40"/>
        <v>0.3778210773300782</v>
      </c>
      <c r="AD40" s="120">
        <f t="shared" si="41"/>
        <v>0.45026962626593575</v>
      </c>
      <c r="AE40" s="120">
        <f t="shared" si="42"/>
        <v>0.8090169943749473</v>
      </c>
      <c r="AF40" s="121">
        <f t="shared" si="43"/>
        <v>270</v>
      </c>
      <c r="AG40" s="119">
        <f t="shared" si="44"/>
        <v>54</v>
      </c>
      <c r="AH40" s="122">
        <f t="shared" si="45"/>
        <v>9.310671048385866E-05</v>
      </c>
      <c r="AI40" s="151">
        <v>103</v>
      </c>
      <c r="AJ40" s="153">
        <v>106</v>
      </c>
      <c r="AK40" s="151">
        <v>181.9</v>
      </c>
      <c r="AL40" s="152">
        <v>-61.4</v>
      </c>
      <c r="AM40" s="159">
        <f t="shared" si="46"/>
        <v>308.1</v>
      </c>
      <c r="AN40" s="149">
        <f t="shared" si="47"/>
        <v>218.10000000000002</v>
      </c>
      <c r="AO40" s="115">
        <f t="shared" si="48"/>
        <v>60.901268309980104</v>
      </c>
      <c r="AP40" s="121"/>
      <c r="AQ40" s="161"/>
      <c r="AR40" s="121"/>
      <c r="AS40" s="162"/>
      <c r="AT40" s="163"/>
    </row>
    <row r="41" spans="1:46" ht="15">
      <c r="A41" s="151" t="s">
        <v>45</v>
      </c>
      <c r="B41" s="152" t="s">
        <v>99</v>
      </c>
      <c r="C41" s="152">
        <v>8</v>
      </c>
      <c r="D41" s="153">
        <v>1</v>
      </c>
      <c r="E41" s="151" t="s">
        <v>48</v>
      </c>
      <c r="F41" s="152"/>
      <c r="G41" s="154">
        <f t="shared" si="49"/>
        <v>575.04</v>
      </c>
      <c r="H41" s="154">
        <f t="shared" si="49"/>
        <v>575.05</v>
      </c>
      <c r="I41" s="109">
        <f t="shared" si="28"/>
        <v>575.045</v>
      </c>
      <c r="J41" s="155">
        <v>104</v>
      </c>
      <c r="K41" s="156">
        <v>105</v>
      </c>
      <c r="L41" s="153">
        <f t="shared" si="29"/>
        <v>104.5</v>
      </c>
      <c r="M41" s="151">
        <v>270</v>
      </c>
      <c r="N41" s="152">
        <v>13</v>
      </c>
      <c r="O41" s="152">
        <v>0</v>
      </c>
      <c r="P41" s="152">
        <v>15</v>
      </c>
      <c r="Q41" s="152"/>
      <c r="R41" s="153"/>
      <c r="S41" s="157">
        <f t="shared" si="30"/>
        <v>-0.25218552974419584</v>
      </c>
      <c r="T41" s="158">
        <f t="shared" si="31"/>
        <v>0.21728603304169497</v>
      </c>
      <c r="U41" s="158">
        <f t="shared" si="32"/>
        <v>0.9411692099390114</v>
      </c>
      <c r="V41" s="149">
        <f t="shared" si="33"/>
        <v>139.25142407760796</v>
      </c>
      <c r="W41" s="115">
        <f t="shared" si="34"/>
        <v>70.52180238522232</v>
      </c>
      <c r="X41" s="159">
        <f t="shared" si="35"/>
        <v>319.25142407760796</v>
      </c>
      <c r="Y41" s="149">
        <f t="shared" si="36"/>
        <v>229.25142407760796</v>
      </c>
      <c r="Z41" s="115">
        <f t="shared" si="37"/>
        <v>19.478197614777685</v>
      </c>
      <c r="AA41" s="160">
        <f t="shared" si="38"/>
        <v>42.42471117976257</v>
      </c>
      <c r="AB41" s="119">
        <f t="shared" si="39"/>
        <v>42.42471117976257</v>
      </c>
      <c r="AC41" s="120">
        <f t="shared" si="40"/>
        <v>0.7381644511002639</v>
      </c>
      <c r="AD41" s="120">
        <f t="shared" si="41"/>
        <v>0.6360112155311648</v>
      </c>
      <c r="AE41" s="120">
        <f t="shared" si="42"/>
        <v>0.22495105434386503</v>
      </c>
      <c r="AF41" s="121">
        <f t="shared" si="43"/>
        <v>270.00000000000006</v>
      </c>
      <c r="AG41" s="119">
        <f t="shared" si="44"/>
        <v>13.000000000000004</v>
      </c>
      <c r="AH41" s="122">
        <f t="shared" si="45"/>
        <v>5.058045882848304E-05</v>
      </c>
      <c r="AI41" s="151">
        <v>103</v>
      </c>
      <c r="AJ41" s="153">
        <v>106</v>
      </c>
      <c r="AK41" s="151">
        <v>181.9</v>
      </c>
      <c r="AL41" s="152">
        <v>-61.4</v>
      </c>
      <c r="AM41" s="159">
        <f t="shared" si="46"/>
        <v>317.35142407760793</v>
      </c>
      <c r="AN41" s="149">
        <f t="shared" si="47"/>
        <v>227.35142407760793</v>
      </c>
      <c r="AO41" s="115">
        <f t="shared" si="48"/>
        <v>19.478197614777685</v>
      </c>
      <c r="AP41" s="121"/>
      <c r="AQ41" s="161"/>
      <c r="AR41" s="121"/>
      <c r="AS41" s="162"/>
      <c r="AT41" s="163"/>
    </row>
    <row r="42" spans="1:46" ht="15">
      <c r="A42" s="151" t="s">
        <v>45</v>
      </c>
      <c r="B42" s="152" t="s">
        <v>99</v>
      </c>
      <c r="C42" s="152">
        <v>8</v>
      </c>
      <c r="D42" s="153">
        <v>3</v>
      </c>
      <c r="E42" s="151" t="s">
        <v>48</v>
      </c>
      <c r="F42" s="152"/>
      <c r="G42" s="154">
        <f aca="true" t="shared" si="50" ref="G42:G50">J42/100+575.3</f>
        <v>575.43</v>
      </c>
      <c r="H42" s="154">
        <f aca="true" t="shared" si="51" ref="H42:H50">K42/100+575.3</f>
        <v>575.4399999999999</v>
      </c>
      <c r="I42" s="109">
        <f t="shared" si="28"/>
        <v>575.435</v>
      </c>
      <c r="J42" s="155">
        <v>13</v>
      </c>
      <c r="K42" s="156">
        <v>14</v>
      </c>
      <c r="L42" s="153">
        <f t="shared" si="29"/>
        <v>13.5</v>
      </c>
      <c r="M42" s="151">
        <v>90</v>
      </c>
      <c r="N42" s="152">
        <v>2</v>
      </c>
      <c r="O42" s="152">
        <v>180</v>
      </c>
      <c r="P42" s="152">
        <v>6</v>
      </c>
      <c r="Q42" s="152"/>
      <c r="R42" s="153"/>
      <c r="S42" s="157">
        <f t="shared" si="30"/>
        <v>0.10446478735209536</v>
      </c>
      <c r="T42" s="158">
        <f t="shared" si="31"/>
        <v>-0.034708313607970075</v>
      </c>
      <c r="U42" s="158">
        <f t="shared" si="32"/>
        <v>0.9939160595006973</v>
      </c>
      <c r="V42" s="149">
        <f t="shared" si="33"/>
        <v>341.62098802250347</v>
      </c>
      <c r="W42" s="115">
        <f t="shared" si="34"/>
        <v>83.68004299396074</v>
      </c>
      <c r="X42" s="159">
        <f t="shared" si="35"/>
        <v>161.62098802250347</v>
      </c>
      <c r="Y42" s="149">
        <f t="shared" si="36"/>
        <v>71.62098802250347</v>
      </c>
      <c r="Z42" s="115">
        <f t="shared" si="37"/>
        <v>6.31995700603926</v>
      </c>
      <c r="AA42" s="160">
        <f t="shared" si="38"/>
        <v>18.483774643263274</v>
      </c>
      <c r="AB42" s="119">
        <f t="shared" si="39"/>
        <v>18.483774643263274</v>
      </c>
      <c r="AC42" s="120">
        <f t="shared" si="40"/>
        <v>0.9484134733838079</v>
      </c>
      <c r="AD42" s="120">
        <f t="shared" si="41"/>
        <v>0.31510935980064636</v>
      </c>
      <c r="AE42" s="120">
        <f t="shared" si="42"/>
        <v>0.034899496702501205</v>
      </c>
      <c r="AF42" s="121">
        <f t="shared" si="43"/>
        <v>90.00000000000003</v>
      </c>
      <c r="AG42" s="119">
        <f t="shared" si="44"/>
        <v>2.0000000000000138</v>
      </c>
      <c r="AH42" s="122">
        <f t="shared" si="45"/>
        <v>1.0082117495090567E-05</v>
      </c>
      <c r="AI42" s="151">
        <v>0</v>
      </c>
      <c r="AJ42" s="153">
        <v>35</v>
      </c>
      <c r="AK42" s="151">
        <v>52</v>
      </c>
      <c r="AL42" s="152">
        <v>-54.4</v>
      </c>
      <c r="AM42" s="159">
        <f t="shared" si="46"/>
        <v>289.62098802250347</v>
      </c>
      <c r="AN42" s="149">
        <f t="shared" si="47"/>
        <v>199.62098802250347</v>
      </c>
      <c r="AO42" s="115">
        <f t="shared" si="48"/>
        <v>6.31995700603926</v>
      </c>
      <c r="AP42" s="121"/>
      <c r="AQ42" s="161"/>
      <c r="AR42" s="121"/>
      <c r="AS42" s="162"/>
      <c r="AT42" s="163"/>
    </row>
    <row r="43" spans="1:46" ht="15">
      <c r="A43" s="151" t="s">
        <v>45</v>
      </c>
      <c r="B43" s="152" t="s">
        <v>99</v>
      </c>
      <c r="C43" s="152">
        <v>8</v>
      </c>
      <c r="D43" s="153">
        <v>3</v>
      </c>
      <c r="E43" s="151" t="s">
        <v>47</v>
      </c>
      <c r="F43" s="152" t="s">
        <v>105</v>
      </c>
      <c r="G43" s="154">
        <f t="shared" si="50"/>
        <v>575.56</v>
      </c>
      <c r="H43" s="154">
        <f t="shared" si="51"/>
        <v>575.63</v>
      </c>
      <c r="I43" s="109">
        <f t="shared" si="28"/>
        <v>575.595</v>
      </c>
      <c r="J43" s="155">
        <v>26</v>
      </c>
      <c r="K43" s="156">
        <v>33</v>
      </c>
      <c r="L43" s="153">
        <f t="shared" si="29"/>
        <v>29.5</v>
      </c>
      <c r="M43" s="151">
        <v>270</v>
      </c>
      <c r="N43" s="152">
        <v>88</v>
      </c>
      <c r="O43" s="152">
        <v>55</v>
      </c>
      <c r="P43" s="152">
        <v>0</v>
      </c>
      <c r="Q43" s="152"/>
      <c r="R43" s="153"/>
      <c r="S43" s="157">
        <f t="shared" si="30"/>
        <v>-0.8186530389963584</v>
      </c>
      <c r="T43" s="158">
        <f t="shared" si="31"/>
        <v>0.5732270290835377</v>
      </c>
      <c r="U43" s="158">
        <f t="shared" si="32"/>
        <v>0.02001752894906565</v>
      </c>
      <c r="V43" s="149">
        <f t="shared" si="33"/>
        <v>145</v>
      </c>
      <c r="W43" s="115">
        <f t="shared" si="34"/>
        <v>1.147465589363941</v>
      </c>
      <c r="X43" s="159">
        <f t="shared" si="35"/>
        <v>325</v>
      </c>
      <c r="Y43" s="149">
        <f t="shared" si="36"/>
        <v>235</v>
      </c>
      <c r="Z43" s="115">
        <f t="shared" si="37"/>
        <v>88.85253441063605</v>
      </c>
      <c r="AA43" s="160">
        <f t="shared" si="38"/>
        <v>88.36180540129037</v>
      </c>
      <c r="AB43" s="119">
        <f t="shared" si="39"/>
        <v>88.36180540129037</v>
      </c>
      <c r="AC43" s="120">
        <f t="shared" si="40"/>
        <v>0.02858799406851067</v>
      </c>
      <c r="AD43" s="120">
        <f t="shared" si="41"/>
        <v>0.02001752894906589</v>
      </c>
      <c r="AE43" s="120">
        <f t="shared" si="42"/>
        <v>0.9993908270190957</v>
      </c>
      <c r="AF43" s="121">
        <f t="shared" si="43"/>
        <v>270.00000000000034</v>
      </c>
      <c r="AG43" s="119">
        <f t="shared" si="44"/>
        <v>87.99999999999986</v>
      </c>
      <c r="AH43" s="122">
        <f t="shared" si="45"/>
        <v>8.702654398775344E-06</v>
      </c>
      <c r="AI43" s="151">
        <v>0</v>
      </c>
      <c r="AJ43" s="153">
        <v>35</v>
      </c>
      <c r="AK43" s="151">
        <v>52</v>
      </c>
      <c r="AL43" s="152">
        <v>-54.4</v>
      </c>
      <c r="AM43" s="159">
        <f t="shared" si="46"/>
        <v>93</v>
      </c>
      <c r="AN43" s="149">
        <f t="shared" si="47"/>
        <v>3</v>
      </c>
      <c r="AO43" s="115">
        <f t="shared" si="48"/>
        <v>88.85253441063605</v>
      </c>
      <c r="AP43" s="121"/>
      <c r="AQ43" s="161"/>
      <c r="AR43" s="121"/>
      <c r="AS43" s="162"/>
      <c r="AT43" s="163"/>
    </row>
    <row r="44" spans="1:46" ht="15">
      <c r="A44" s="151" t="s">
        <v>45</v>
      </c>
      <c r="B44" s="152" t="s">
        <v>99</v>
      </c>
      <c r="C44" s="152">
        <v>8</v>
      </c>
      <c r="D44" s="153">
        <v>3</v>
      </c>
      <c r="E44" s="151" t="s">
        <v>47</v>
      </c>
      <c r="F44" s="152" t="s">
        <v>105</v>
      </c>
      <c r="G44" s="154">
        <f t="shared" si="50"/>
        <v>575.62</v>
      </c>
      <c r="H44" s="154">
        <f t="shared" si="51"/>
        <v>575.65</v>
      </c>
      <c r="I44" s="109">
        <f t="shared" si="28"/>
        <v>575.635</v>
      </c>
      <c r="J44" s="155">
        <v>32</v>
      </c>
      <c r="K44" s="156">
        <v>35</v>
      </c>
      <c r="L44" s="153">
        <f t="shared" si="29"/>
        <v>33.5</v>
      </c>
      <c r="M44" s="151">
        <v>90</v>
      </c>
      <c r="N44" s="152">
        <v>40</v>
      </c>
      <c r="O44" s="152">
        <v>188</v>
      </c>
      <c r="P44" s="152">
        <v>0</v>
      </c>
      <c r="Q44" s="152"/>
      <c r="R44" s="153"/>
      <c r="S44" s="157">
        <f t="shared" si="30"/>
        <v>0.08945874489878392</v>
      </c>
      <c r="T44" s="158">
        <f t="shared" si="31"/>
        <v>-0.6365320448552995</v>
      </c>
      <c r="U44" s="158">
        <f t="shared" si="32"/>
        <v>0.758589351257642</v>
      </c>
      <c r="V44" s="149">
        <f t="shared" si="33"/>
        <v>278</v>
      </c>
      <c r="W44" s="115">
        <f t="shared" si="34"/>
        <v>49.72386141114748</v>
      </c>
      <c r="X44" s="159">
        <f t="shared" si="35"/>
        <v>98</v>
      </c>
      <c r="Y44" s="149">
        <f t="shared" si="36"/>
        <v>8</v>
      </c>
      <c r="Z44" s="115">
        <f t="shared" si="37"/>
        <v>40.27613858885252</v>
      </c>
      <c r="AA44" s="160">
        <f t="shared" si="38"/>
        <v>83.87990628306974</v>
      </c>
      <c r="AB44" s="119">
        <f t="shared" si="39"/>
        <v>83.87990628306974</v>
      </c>
      <c r="AC44" s="120">
        <f t="shared" si="40"/>
        <v>0.10661278062209471</v>
      </c>
      <c r="AD44" s="120">
        <f t="shared" si="41"/>
        <v>0.7585893512576422</v>
      </c>
      <c r="AE44" s="120">
        <f t="shared" si="42"/>
        <v>0.6427876096865393</v>
      </c>
      <c r="AF44" s="121">
        <f t="shared" si="43"/>
        <v>90</v>
      </c>
      <c r="AG44" s="119">
        <f t="shared" si="44"/>
        <v>39.99999999999999</v>
      </c>
      <c r="AH44" s="122">
        <f t="shared" si="45"/>
        <v>2.087479127656254E-05</v>
      </c>
      <c r="AI44" s="151">
        <v>0</v>
      </c>
      <c r="AJ44" s="153">
        <v>35</v>
      </c>
      <c r="AK44" s="151">
        <v>52</v>
      </c>
      <c r="AL44" s="152">
        <v>-54.4</v>
      </c>
      <c r="AM44" s="159">
        <f t="shared" si="46"/>
        <v>226</v>
      </c>
      <c r="AN44" s="149">
        <f t="shared" si="47"/>
        <v>136</v>
      </c>
      <c r="AO44" s="115">
        <f t="shared" si="48"/>
        <v>40.27613858885252</v>
      </c>
      <c r="AP44" s="121"/>
      <c r="AQ44" s="161"/>
      <c r="AR44" s="121"/>
      <c r="AS44" s="162"/>
      <c r="AT44" s="163"/>
    </row>
    <row r="45" spans="1:46" ht="15">
      <c r="A45" s="151" t="s">
        <v>45</v>
      </c>
      <c r="B45" s="152" t="s">
        <v>99</v>
      </c>
      <c r="C45" s="152">
        <v>8</v>
      </c>
      <c r="D45" s="153">
        <v>3</v>
      </c>
      <c r="E45" s="151" t="s">
        <v>112</v>
      </c>
      <c r="F45" s="152"/>
      <c r="G45" s="154">
        <f t="shared" si="50"/>
        <v>575.8499999999999</v>
      </c>
      <c r="H45" s="154">
        <f t="shared" si="51"/>
        <v>575.91</v>
      </c>
      <c r="I45" s="109">
        <f t="shared" si="28"/>
        <v>575.8799999999999</v>
      </c>
      <c r="J45" s="155">
        <v>55</v>
      </c>
      <c r="K45" s="156">
        <v>61</v>
      </c>
      <c r="L45" s="153">
        <f t="shared" si="29"/>
        <v>58</v>
      </c>
      <c r="M45" s="151">
        <v>90</v>
      </c>
      <c r="N45" s="152">
        <v>78</v>
      </c>
      <c r="O45" s="152">
        <v>22</v>
      </c>
      <c r="P45" s="152">
        <v>0</v>
      </c>
      <c r="Q45" s="152"/>
      <c r="R45" s="153"/>
      <c r="S45" s="157">
        <f t="shared" si="30"/>
        <v>-0.36642054056883855</v>
      </c>
      <c r="T45" s="158">
        <f t="shared" si="31"/>
        <v>0.9069226627836249</v>
      </c>
      <c r="U45" s="158">
        <f t="shared" si="32"/>
        <v>-0.19277236290190836</v>
      </c>
      <c r="V45" s="149">
        <f t="shared" si="33"/>
        <v>112</v>
      </c>
      <c r="W45" s="115">
        <f t="shared" si="34"/>
        <v>-11.148919110425785</v>
      </c>
      <c r="X45" s="159">
        <f t="shared" si="35"/>
        <v>112</v>
      </c>
      <c r="Y45" s="149">
        <f t="shared" si="36"/>
        <v>22</v>
      </c>
      <c r="Z45" s="115">
        <f t="shared" si="37"/>
        <v>78.85108088957422</v>
      </c>
      <c r="AA45" s="160">
        <f t="shared" si="38"/>
        <v>85.53298904342677</v>
      </c>
      <c r="AB45" s="119">
        <f t="shared" si="39"/>
        <v>85.53298904342677</v>
      </c>
      <c r="AC45" s="120">
        <f t="shared" si="40"/>
        <v>0.07788509022858299</v>
      </c>
      <c r="AD45" s="120">
        <f t="shared" si="41"/>
        <v>0.19277236290190827</v>
      </c>
      <c r="AE45" s="120">
        <f t="shared" si="42"/>
        <v>0.9781476007338057</v>
      </c>
      <c r="AF45" s="121">
        <f t="shared" si="43"/>
        <v>90.00000000000006</v>
      </c>
      <c r="AG45" s="119">
        <f t="shared" si="44"/>
        <v>78.00000000000003</v>
      </c>
      <c r="AH45" s="122">
        <f t="shared" si="45"/>
        <v>2.320556926615763E-05</v>
      </c>
      <c r="AI45" s="151">
        <v>50</v>
      </c>
      <c r="AJ45" s="153">
        <v>85</v>
      </c>
      <c r="AK45" s="151">
        <v>182.7</v>
      </c>
      <c r="AL45" s="152">
        <v>-55.7</v>
      </c>
      <c r="AM45" s="159">
        <f t="shared" si="46"/>
        <v>109.30000000000001</v>
      </c>
      <c r="AN45" s="149">
        <f t="shared" si="47"/>
        <v>19.30000000000001</v>
      </c>
      <c r="AO45" s="115">
        <f t="shared" si="48"/>
        <v>78.85108088957422</v>
      </c>
      <c r="AP45" s="121"/>
      <c r="AQ45" s="161"/>
      <c r="AR45" s="121"/>
      <c r="AS45" s="162"/>
      <c r="AT45" s="163"/>
    </row>
    <row r="46" spans="1:46" ht="15">
      <c r="A46" s="151" t="s">
        <v>45</v>
      </c>
      <c r="B46" s="152" t="s">
        <v>99</v>
      </c>
      <c r="C46" s="152">
        <v>8</v>
      </c>
      <c r="D46" s="153">
        <v>3</v>
      </c>
      <c r="E46" s="151" t="s">
        <v>112</v>
      </c>
      <c r="F46" s="152"/>
      <c r="G46" s="154">
        <f t="shared" si="50"/>
        <v>575.93</v>
      </c>
      <c r="H46" s="154">
        <f t="shared" si="51"/>
        <v>575.9699999999999</v>
      </c>
      <c r="I46" s="109">
        <f t="shared" si="28"/>
        <v>575.9499999999999</v>
      </c>
      <c r="J46" s="155">
        <v>63</v>
      </c>
      <c r="K46" s="156">
        <v>67</v>
      </c>
      <c r="L46" s="153">
        <f t="shared" si="29"/>
        <v>65</v>
      </c>
      <c r="M46" s="151">
        <v>90</v>
      </c>
      <c r="N46" s="152">
        <v>47</v>
      </c>
      <c r="O46" s="152">
        <v>356</v>
      </c>
      <c r="P46" s="152">
        <v>0</v>
      </c>
      <c r="Q46" s="152"/>
      <c r="R46" s="153"/>
      <c r="S46" s="157">
        <f t="shared" si="30"/>
        <v>0.05101665528466612</v>
      </c>
      <c r="T46" s="158">
        <f t="shared" si="31"/>
        <v>0.7295721607597347</v>
      </c>
      <c r="U46" s="158">
        <f t="shared" si="32"/>
        <v>-0.680337046334504</v>
      </c>
      <c r="V46" s="149">
        <f t="shared" si="33"/>
        <v>86.00000000000003</v>
      </c>
      <c r="W46" s="115">
        <f t="shared" si="34"/>
        <v>-42.93030624308887</v>
      </c>
      <c r="X46" s="159">
        <f t="shared" si="35"/>
        <v>86.00000000000003</v>
      </c>
      <c r="Y46" s="149">
        <f t="shared" si="36"/>
        <v>356</v>
      </c>
      <c r="Z46" s="115">
        <f t="shared" si="37"/>
        <v>47.06969375691113</v>
      </c>
      <c r="AA46" s="160">
        <f t="shared" si="38"/>
        <v>92.72680723762177</v>
      </c>
      <c r="AB46" s="119">
        <f t="shared" si="39"/>
        <v>92.72680723762177</v>
      </c>
      <c r="AC46" s="120">
        <f t="shared" si="40"/>
        <v>-0.04757380069723585</v>
      </c>
      <c r="AD46" s="120">
        <f t="shared" si="41"/>
        <v>0.6803370463345041</v>
      </c>
      <c r="AE46" s="120">
        <f t="shared" si="42"/>
        <v>0.7313537016191705</v>
      </c>
      <c r="AF46" s="121">
        <f t="shared" si="43"/>
        <v>89.99999999999997</v>
      </c>
      <c r="AG46" s="119">
        <f t="shared" si="44"/>
        <v>46.99999999999999</v>
      </c>
      <c r="AH46" s="122">
        <f t="shared" si="45"/>
        <v>-1.0598348702372759E-05</v>
      </c>
      <c r="AI46" s="151">
        <v>50</v>
      </c>
      <c r="AJ46" s="153">
        <v>85</v>
      </c>
      <c r="AK46" s="151">
        <v>182.7</v>
      </c>
      <c r="AL46" s="152">
        <v>-55.7</v>
      </c>
      <c r="AM46" s="159">
        <f t="shared" si="46"/>
        <v>83.30000000000004</v>
      </c>
      <c r="AN46" s="149">
        <f t="shared" si="47"/>
        <v>353.30000000000007</v>
      </c>
      <c r="AO46" s="115">
        <f t="shared" si="48"/>
        <v>47.06969375691113</v>
      </c>
      <c r="AP46" s="121"/>
      <c r="AQ46" s="161"/>
      <c r="AR46" s="121"/>
      <c r="AS46" s="162"/>
      <c r="AT46" s="163"/>
    </row>
    <row r="47" spans="1:46" ht="15">
      <c r="A47" s="151" t="s">
        <v>45</v>
      </c>
      <c r="B47" s="152" t="s">
        <v>99</v>
      </c>
      <c r="C47" s="152">
        <v>8</v>
      </c>
      <c r="D47" s="153">
        <v>3</v>
      </c>
      <c r="E47" s="151" t="s">
        <v>112</v>
      </c>
      <c r="F47" s="152"/>
      <c r="G47" s="154">
        <f t="shared" si="50"/>
        <v>575.9399999999999</v>
      </c>
      <c r="H47" s="154">
        <f t="shared" si="51"/>
        <v>575.9599999999999</v>
      </c>
      <c r="I47" s="109">
        <f t="shared" si="28"/>
        <v>575.9499999999999</v>
      </c>
      <c r="J47" s="155">
        <v>64</v>
      </c>
      <c r="K47" s="156">
        <v>66</v>
      </c>
      <c r="L47" s="153">
        <f t="shared" si="29"/>
        <v>65</v>
      </c>
      <c r="M47" s="151">
        <v>90</v>
      </c>
      <c r="N47" s="152">
        <v>83</v>
      </c>
      <c r="O47" s="152">
        <v>355</v>
      </c>
      <c r="P47" s="152">
        <v>0</v>
      </c>
      <c r="Q47" s="152"/>
      <c r="R47" s="153"/>
      <c r="S47" s="157">
        <f t="shared" si="30"/>
        <v>0.08650609705762932</v>
      </c>
      <c r="T47" s="158">
        <f t="shared" si="31"/>
        <v>0.9887692138764507</v>
      </c>
      <c r="U47" s="158">
        <f t="shared" si="32"/>
        <v>-0.12140559376013016</v>
      </c>
      <c r="V47" s="149">
        <f t="shared" si="33"/>
        <v>85</v>
      </c>
      <c r="W47" s="115">
        <f t="shared" si="34"/>
        <v>-6.973625669298132</v>
      </c>
      <c r="X47" s="159">
        <f t="shared" si="35"/>
        <v>85</v>
      </c>
      <c r="Y47" s="149">
        <f t="shared" si="36"/>
        <v>355</v>
      </c>
      <c r="Z47" s="115">
        <f t="shared" si="37"/>
        <v>83.02637433070187</v>
      </c>
      <c r="AA47" s="160">
        <f t="shared" si="38"/>
        <v>90.60858504835224</v>
      </c>
      <c r="AB47" s="119">
        <f t="shared" si="39"/>
        <v>90.60858504835224</v>
      </c>
      <c r="AC47" s="120">
        <f t="shared" si="40"/>
        <v>-0.010621613142644922</v>
      </c>
      <c r="AD47" s="120">
        <f t="shared" si="41"/>
        <v>0.12140559376013009</v>
      </c>
      <c r="AE47" s="120">
        <f t="shared" si="42"/>
        <v>0.9925461516413221</v>
      </c>
      <c r="AF47" s="121">
        <f t="shared" si="43"/>
        <v>89.99999999999994</v>
      </c>
      <c r="AG47" s="119">
        <f t="shared" si="44"/>
        <v>83.00000000000003</v>
      </c>
      <c r="AH47" s="122">
        <f t="shared" si="45"/>
        <v>-3.2112506150798584E-06</v>
      </c>
      <c r="AI47" s="151">
        <v>50</v>
      </c>
      <c r="AJ47" s="153">
        <v>85</v>
      </c>
      <c r="AK47" s="151">
        <v>182.7</v>
      </c>
      <c r="AL47" s="152">
        <v>-55.7</v>
      </c>
      <c r="AM47" s="159">
        <f t="shared" si="46"/>
        <v>82.30000000000001</v>
      </c>
      <c r="AN47" s="149">
        <f t="shared" si="47"/>
        <v>352.3</v>
      </c>
      <c r="AO47" s="115">
        <f t="shared" si="48"/>
        <v>83.02637433070187</v>
      </c>
      <c r="AP47" s="121"/>
      <c r="AQ47" s="161"/>
      <c r="AR47" s="121"/>
      <c r="AS47" s="162"/>
      <c r="AT47" s="163"/>
    </row>
    <row r="48" spans="1:46" ht="15">
      <c r="A48" s="151" t="s">
        <v>45</v>
      </c>
      <c r="B48" s="152" t="s">
        <v>99</v>
      </c>
      <c r="C48" s="152">
        <v>8</v>
      </c>
      <c r="D48" s="153">
        <v>3</v>
      </c>
      <c r="E48" s="151" t="s">
        <v>112</v>
      </c>
      <c r="F48" s="152"/>
      <c r="G48" s="154">
        <f t="shared" si="50"/>
        <v>576</v>
      </c>
      <c r="H48" s="154">
        <f t="shared" si="51"/>
        <v>576.15</v>
      </c>
      <c r="I48" s="109">
        <f t="shared" si="28"/>
        <v>576.075</v>
      </c>
      <c r="J48" s="155">
        <v>70</v>
      </c>
      <c r="K48" s="156">
        <v>85</v>
      </c>
      <c r="L48" s="153">
        <f t="shared" si="29"/>
        <v>77.5</v>
      </c>
      <c r="M48" s="151">
        <v>90</v>
      </c>
      <c r="N48" s="152">
        <v>70</v>
      </c>
      <c r="O48" s="152">
        <v>1</v>
      </c>
      <c r="P48" s="152">
        <v>0</v>
      </c>
      <c r="Q48" s="152"/>
      <c r="R48" s="153"/>
      <c r="S48" s="157">
        <f t="shared" si="30"/>
        <v>-0.0163998975440718</v>
      </c>
      <c r="T48" s="158">
        <f t="shared" si="31"/>
        <v>0.9395495010482593</v>
      </c>
      <c r="U48" s="158">
        <f t="shared" si="32"/>
        <v>-0.3419680520012286</v>
      </c>
      <c r="V48" s="149">
        <f t="shared" si="33"/>
        <v>91</v>
      </c>
      <c r="W48" s="115">
        <f t="shared" si="34"/>
        <v>-19.997195331184194</v>
      </c>
      <c r="X48" s="159">
        <f t="shared" si="35"/>
        <v>91</v>
      </c>
      <c r="Y48" s="149">
        <f t="shared" si="36"/>
        <v>1</v>
      </c>
      <c r="Z48" s="115">
        <f t="shared" si="37"/>
        <v>70.0028046688158</v>
      </c>
      <c r="AA48" s="160">
        <f t="shared" si="38"/>
        <v>89.65799518967488</v>
      </c>
      <c r="AB48" s="119">
        <f t="shared" si="39"/>
        <v>89.65799518967488</v>
      </c>
      <c r="AC48" s="120">
        <f t="shared" si="40"/>
        <v>0.005969074551057652</v>
      </c>
      <c r="AD48" s="120">
        <f t="shared" si="41"/>
        <v>0.3419680520012289</v>
      </c>
      <c r="AE48" s="120">
        <f t="shared" si="42"/>
        <v>0.9396926207859082</v>
      </c>
      <c r="AF48" s="121">
        <f t="shared" si="43"/>
        <v>89.99999999999999</v>
      </c>
      <c r="AG48" s="119">
        <f t="shared" si="44"/>
        <v>69.99999999999997</v>
      </c>
      <c r="AH48" s="122">
        <f t="shared" si="45"/>
        <v>1.7085515392431646E-06</v>
      </c>
      <c r="AI48" s="151">
        <v>50</v>
      </c>
      <c r="AJ48" s="153">
        <v>85</v>
      </c>
      <c r="AK48" s="151">
        <v>182.7</v>
      </c>
      <c r="AL48" s="152">
        <v>-55.7</v>
      </c>
      <c r="AM48" s="159">
        <f t="shared" si="46"/>
        <v>88.30000000000001</v>
      </c>
      <c r="AN48" s="149">
        <f t="shared" si="47"/>
        <v>358.3</v>
      </c>
      <c r="AO48" s="115">
        <f t="shared" si="48"/>
        <v>70.0028046688158</v>
      </c>
      <c r="AP48" s="121"/>
      <c r="AQ48" s="161"/>
      <c r="AR48" s="121"/>
      <c r="AS48" s="162"/>
      <c r="AT48" s="163"/>
    </row>
    <row r="49" spans="1:46" ht="15">
      <c r="A49" s="151" t="s">
        <v>45</v>
      </c>
      <c r="B49" s="152" t="s">
        <v>99</v>
      </c>
      <c r="C49" s="152">
        <v>8</v>
      </c>
      <c r="D49" s="153">
        <v>3</v>
      </c>
      <c r="E49" s="151" t="s">
        <v>112</v>
      </c>
      <c r="F49" s="152"/>
      <c r="G49" s="154">
        <f t="shared" si="50"/>
        <v>576.24</v>
      </c>
      <c r="H49" s="154">
        <f t="shared" si="51"/>
        <v>576.28</v>
      </c>
      <c r="I49" s="109">
        <f t="shared" si="28"/>
        <v>576.26</v>
      </c>
      <c r="J49" s="155">
        <v>94</v>
      </c>
      <c r="K49" s="156">
        <v>98</v>
      </c>
      <c r="L49" s="153">
        <f t="shared" si="29"/>
        <v>96</v>
      </c>
      <c r="M49" s="151">
        <v>90</v>
      </c>
      <c r="N49" s="152">
        <v>65</v>
      </c>
      <c r="O49" s="152">
        <v>312</v>
      </c>
      <c r="P49" s="152">
        <v>0</v>
      </c>
      <c r="Q49" s="152"/>
      <c r="R49" s="153"/>
      <c r="S49" s="157">
        <f t="shared" si="30"/>
        <v>0.6735179422261549</v>
      </c>
      <c r="T49" s="158">
        <f t="shared" si="31"/>
        <v>0.6064382790875882</v>
      </c>
      <c r="U49" s="158">
        <f t="shared" si="32"/>
        <v>-0.2827868137368807</v>
      </c>
      <c r="V49" s="149">
        <f t="shared" si="33"/>
        <v>41.999999999999964</v>
      </c>
      <c r="W49" s="115">
        <f t="shared" si="34"/>
        <v>-17.329003943136502</v>
      </c>
      <c r="X49" s="159">
        <f t="shared" si="35"/>
        <v>41.999999999999964</v>
      </c>
      <c r="Y49" s="149">
        <f t="shared" si="36"/>
        <v>311.99999999999994</v>
      </c>
      <c r="Z49" s="115">
        <f t="shared" si="37"/>
        <v>72.6709960568635</v>
      </c>
      <c r="AA49" s="160">
        <f t="shared" si="38"/>
        <v>108.30447294314732</v>
      </c>
      <c r="AB49" s="119">
        <f t="shared" si="39"/>
        <v>108.30447294314732</v>
      </c>
      <c r="AC49" s="120">
        <f t="shared" si="40"/>
        <v>-0.31406657436485186</v>
      </c>
      <c r="AD49" s="120">
        <f t="shared" si="41"/>
        <v>0.28278681373688075</v>
      </c>
      <c r="AE49" s="120">
        <f t="shared" si="42"/>
        <v>0.9063077870366499</v>
      </c>
      <c r="AF49" s="121">
        <f t="shared" si="43"/>
        <v>89.99999999999994</v>
      </c>
      <c r="AG49" s="119">
        <f t="shared" si="44"/>
        <v>65</v>
      </c>
      <c r="AH49" s="122">
        <f t="shared" si="45"/>
        <v>-8.670255153329733E-05</v>
      </c>
      <c r="AI49" s="151">
        <v>91</v>
      </c>
      <c r="AJ49" s="153">
        <v>95</v>
      </c>
      <c r="AK49" s="151">
        <v>110.9</v>
      </c>
      <c r="AL49" s="152">
        <v>-49.9</v>
      </c>
      <c r="AM49" s="159">
        <f t="shared" si="46"/>
        <v>111.09999999999997</v>
      </c>
      <c r="AN49" s="149">
        <f t="shared" si="47"/>
        <v>21.099999999999966</v>
      </c>
      <c r="AO49" s="115">
        <f t="shared" si="48"/>
        <v>72.6709960568635</v>
      </c>
      <c r="AP49" s="121"/>
      <c r="AQ49" s="161"/>
      <c r="AR49" s="121"/>
      <c r="AS49" s="162"/>
      <c r="AT49" s="163"/>
    </row>
    <row r="50" spans="1:46" ht="15">
      <c r="A50" s="151" t="s">
        <v>45</v>
      </c>
      <c r="B50" s="152" t="s">
        <v>99</v>
      </c>
      <c r="C50" s="152">
        <v>8</v>
      </c>
      <c r="D50" s="153">
        <v>3</v>
      </c>
      <c r="E50" s="151" t="s">
        <v>112</v>
      </c>
      <c r="F50" s="152"/>
      <c r="G50" s="154">
        <f t="shared" si="50"/>
        <v>576.1999999999999</v>
      </c>
      <c r="H50" s="154">
        <f t="shared" si="51"/>
        <v>576.4</v>
      </c>
      <c r="I50" s="109">
        <f t="shared" si="28"/>
        <v>576.3</v>
      </c>
      <c r="J50" s="155">
        <v>90</v>
      </c>
      <c r="K50" s="156">
        <v>110</v>
      </c>
      <c r="L50" s="153">
        <f t="shared" si="29"/>
        <v>100</v>
      </c>
      <c r="M50" s="151">
        <v>90</v>
      </c>
      <c r="N50" s="152">
        <v>75</v>
      </c>
      <c r="O50" s="152">
        <v>348</v>
      </c>
      <c r="P50" s="152">
        <v>0</v>
      </c>
      <c r="Q50" s="152"/>
      <c r="R50" s="153"/>
      <c r="S50" s="157">
        <f t="shared" si="30"/>
        <v>0.200827271748302</v>
      </c>
      <c r="T50" s="158">
        <f t="shared" si="31"/>
        <v>0.9448180294714709</v>
      </c>
      <c r="U50" s="158">
        <f t="shared" si="32"/>
        <v>-0.2531632279912453</v>
      </c>
      <c r="V50" s="149">
        <f t="shared" si="33"/>
        <v>77.99999999999997</v>
      </c>
      <c r="W50" s="115">
        <f t="shared" si="34"/>
        <v>-14.686531695228396</v>
      </c>
      <c r="X50" s="159">
        <f t="shared" si="35"/>
        <v>77.99999999999997</v>
      </c>
      <c r="Y50" s="149">
        <f t="shared" si="36"/>
        <v>348</v>
      </c>
      <c r="Z50" s="115">
        <f t="shared" si="37"/>
        <v>75.3134683047716</v>
      </c>
      <c r="AA50" s="160">
        <f t="shared" si="38"/>
        <v>93.08466206324377</v>
      </c>
      <c r="AB50" s="119">
        <f t="shared" si="39"/>
        <v>93.08466206324377</v>
      </c>
      <c r="AC50" s="120">
        <f t="shared" si="40"/>
        <v>-0.053811505283103245</v>
      </c>
      <c r="AD50" s="120">
        <f t="shared" si="41"/>
        <v>0.25316322799124547</v>
      </c>
      <c r="AE50" s="120">
        <f t="shared" si="42"/>
        <v>0.9659258262890682</v>
      </c>
      <c r="AF50" s="121">
        <f t="shared" si="43"/>
        <v>90.00000000000004</v>
      </c>
      <c r="AG50" s="119">
        <f t="shared" si="44"/>
        <v>74.99999999999999</v>
      </c>
      <c r="AH50" s="122">
        <f t="shared" si="45"/>
        <v>-1.583262837723917E-05</v>
      </c>
      <c r="AI50" s="151">
        <v>91</v>
      </c>
      <c r="AJ50" s="153">
        <v>95</v>
      </c>
      <c r="AK50" s="151">
        <v>110.9</v>
      </c>
      <c r="AL50" s="152">
        <v>-49.9</v>
      </c>
      <c r="AM50" s="159">
        <f t="shared" si="46"/>
        <v>147.09999999999997</v>
      </c>
      <c r="AN50" s="149">
        <f t="shared" si="47"/>
        <v>57.099999999999966</v>
      </c>
      <c r="AO50" s="115">
        <f t="shared" si="48"/>
        <v>75.3134683047716</v>
      </c>
      <c r="AP50" s="121"/>
      <c r="AQ50" s="161"/>
      <c r="AR50" s="121"/>
      <c r="AS50" s="162"/>
      <c r="AT50" s="163"/>
    </row>
    <row r="51" spans="1:46" ht="15">
      <c r="A51" s="151" t="s">
        <v>45</v>
      </c>
      <c r="B51" s="152" t="s">
        <v>99</v>
      </c>
      <c r="C51" s="152">
        <v>9</v>
      </c>
      <c r="D51" s="153">
        <v>1</v>
      </c>
      <c r="E51" s="151" t="s">
        <v>48</v>
      </c>
      <c r="F51" s="152"/>
      <c r="G51" s="154">
        <f aca="true" t="shared" si="52" ref="G51:H56">J51/100+583.5</f>
        <v>583.59</v>
      </c>
      <c r="H51" s="154">
        <f t="shared" si="52"/>
        <v>583.595</v>
      </c>
      <c r="I51" s="109">
        <f t="shared" si="28"/>
        <v>583.5925</v>
      </c>
      <c r="J51" s="155">
        <v>9</v>
      </c>
      <c r="K51" s="156">
        <v>9.5</v>
      </c>
      <c r="L51" s="153">
        <f t="shared" si="29"/>
        <v>9.25</v>
      </c>
      <c r="M51" s="151">
        <v>270</v>
      </c>
      <c r="N51" s="152">
        <v>5</v>
      </c>
      <c r="O51" s="152">
        <v>180</v>
      </c>
      <c r="P51" s="152">
        <v>2</v>
      </c>
      <c r="Q51" s="152"/>
      <c r="R51" s="153"/>
      <c r="S51" s="157">
        <f t="shared" si="30"/>
        <v>-0.034766693581101835</v>
      </c>
      <c r="T51" s="158">
        <f t="shared" si="31"/>
        <v>-0.08710264982404566</v>
      </c>
      <c r="U51" s="158">
        <f t="shared" si="32"/>
        <v>-0.995587843197948</v>
      </c>
      <c r="V51" s="149">
        <f t="shared" si="33"/>
        <v>248.2407735204424</v>
      </c>
      <c r="W51" s="115">
        <f t="shared" si="34"/>
        <v>-84.61859152100902</v>
      </c>
      <c r="X51" s="159">
        <f t="shared" si="35"/>
        <v>248.2407735204424</v>
      </c>
      <c r="Y51" s="149">
        <f t="shared" si="36"/>
        <v>158.2407735204424</v>
      </c>
      <c r="Z51" s="115">
        <f t="shared" si="37"/>
        <v>5.381408478990977</v>
      </c>
      <c r="AA51" s="160">
        <f t="shared" si="38"/>
        <v>111.67222786138178</v>
      </c>
      <c r="AB51" s="119">
        <f t="shared" si="39"/>
        <v>111.67222786138178</v>
      </c>
      <c r="AC51" s="120">
        <f t="shared" si="40"/>
        <v>-0.36929634912042186</v>
      </c>
      <c r="AD51" s="120">
        <f t="shared" si="41"/>
        <v>0.9252156954096875</v>
      </c>
      <c r="AE51" s="120">
        <f t="shared" si="42"/>
        <v>0.08715574274765793</v>
      </c>
      <c r="AF51" s="121">
        <f t="shared" si="43"/>
        <v>270</v>
      </c>
      <c r="AG51" s="119">
        <f t="shared" si="44"/>
        <v>4.999999999999987</v>
      </c>
      <c r="AH51" s="122">
        <f t="shared" si="45"/>
        <v>-9.804435261072086E-06</v>
      </c>
      <c r="AI51" s="151">
        <v>9</v>
      </c>
      <c r="AJ51" s="153">
        <v>22</v>
      </c>
      <c r="AK51" s="151">
        <v>328.5</v>
      </c>
      <c r="AL51" s="152">
        <v>46.9</v>
      </c>
      <c r="AM51" s="159">
        <f t="shared" si="46"/>
        <v>279.7407735204424</v>
      </c>
      <c r="AN51" s="149">
        <f t="shared" si="47"/>
        <v>189.74077352044242</v>
      </c>
      <c r="AO51" s="115">
        <f t="shared" si="48"/>
        <v>5.381408478990977</v>
      </c>
      <c r="AP51" s="121"/>
      <c r="AQ51" s="161"/>
      <c r="AR51" s="121"/>
      <c r="AS51" s="162"/>
      <c r="AT51" s="163"/>
    </row>
    <row r="52" spans="1:46" ht="15">
      <c r="A52" s="151" t="s">
        <v>45</v>
      </c>
      <c r="B52" s="152" t="s">
        <v>99</v>
      </c>
      <c r="C52" s="152">
        <v>9</v>
      </c>
      <c r="D52" s="153">
        <v>1</v>
      </c>
      <c r="E52" s="151" t="s">
        <v>112</v>
      </c>
      <c r="F52" s="152"/>
      <c r="G52" s="154">
        <f t="shared" si="52"/>
        <v>583.61</v>
      </c>
      <c r="H52" s="154">
        <f t="shared" si="52"/>
        <v>583.61</v>
      </c>
      <c r="I52" s="109">
        <f t="shared" si="28"/>
        <v>583.61</v>
      </c>
      <c r="J52" s="155">
        <v>11</v>
      </c>
      <c r="K52" s="156">
        <v>11</v>
      </c>
      <c r="L52" s="153">
        <f t="shared" si="29"/>
        <v>11</v>
      </c>
      <c r="M52" s="151">
        <v>270</v>
      </c>
      <c r="N52" s="152">
        <v>5</v>
      </c>
      <c r="O52" s="152">
        <v>180</v>
      </c>
      <c r="P52" s="152">
        <v>1</v>
      </c>
      <c r="Q52" s="152"/>
      <c r="R52" s="153"/>
      <c r="S52" s="157">
        <f t="shared" si="30"/>
        <v>-0.017385994761764095</v>
      </c>
      <c r="T52" s="158">
        <f t="shared" si="31"/>
        <v>-0.08714246850588939</v>
      </c>
      <c r="U52" s="158">
        <f t="shared" si="32"/>
        <v>-0.9960429728140489</v>
      </c>
      <c r="V52" s="149">
        <f t="shared" si="33"/>
        <v>258.71693817947005</v>
      </c>
      <c r="W52" s="115">
        <f t="shared" si="34"/>
        <v>-84.90197245232014</v>
      </c>
      <c r="X52" s="159">
        <f t="shared" si="35"/>
        <v>258.71693817947005</v>
      </c>
      <c r="Y52" s="149">
        <f t="shared" si="36"/>
        <v>168.71693817947005</v>
      </c>
      <c r="Z52" s="115">
        <f t="shared" si="37"/>
        <v>5.098027547679862</v>
      </c>
      <c r="AA52" s="160">
        <f t="shared" si="38"/>
        <v>101.23956589347915</v>
      </c>
      <c r="AB52" s="119">
        <f t="shared" si="39"/>
        <v>101.23956589347915</v>
      </c>
      <c r="AC52" s="120">
        <f t="shared" si="40"/>
        <v>-0.1949117084520812</v>
      </c>
      <c r="AD52" s="120">
        <f t="shared" si="41"/>
        <v>0.9769407875682103</v>
      </c>
      <c r="AE52" s="120">
        <f t="shared" si="42"/>
        <v>0.08715574274765671</v>
      </c>
      <c r="AF52" s="121">
        <f t="shared" si="43"/>
        <v>270</v>
      </c>
      <c r="AG52" s="119">
        <f t="shared" si="44"/>
        <v>4.999999999999915</v>
      </c>
      <c r="AH52" s="122">
        <f t="shared" si="45"/>
        <v>-5.1747296649903575E-06</v>
      </c>
      <c r="AI52" s="151">
        <v>9</v>
      </c>
      <c r="AJ52" s="153">
        <v>22</v>
      </c>
      <c r="AK52" s="151">
        <v>328.5</v>
      </c>
      <c r="AL52" s="152">
        <v>46.9</v>
      </c>
      <c r="AM52" s="159">
        <f t="shared" si="46"/>
        <v>290.21693817947005</v>
      </c>
      <c r="AN52" s="149">
        <f t="shared" si="47"/>
        <v>200.21693817947005</v>
      </c>
      <c r="AO52" s="115">
        <f t="shared" si="48"/>
        <v>5.098027547679862</v>
      </c>
      <c r="AP52" s="121"/>
      <c r="AQ52" s="161"/>
      <c r="AR52" s="121"/>
      <c r="AS52" s="162"/>
      <c r="AT52" s="163"/>
    </row>
    <row r="53" spans="1:46" ht="15">
      <c r="A53" s="151" t="s">
        <v>45</v>
      </c>
      <c r="B53" s="152" t="s">
        <v>99</v>
      </c>
      <c r="C53" s="152">
        <v>9</v>
      </c>
      <c r="D53" s="153">
        <v>1</v>
      </c>
      <c r="E53" s="151" t="s">
        <v>112</v>
      </c>
      <c r="F53" s="152"/>
      <c r="G53" s="154">
        <f t="shared" si="52"/>
        <v>583.63</v>
      </c>
      <c r="H53" s="154">
        <f t="shared" si="52"/>
        <v>583.64</v>
      </c>
      <c r="I53" s="109">
        <f t="shared" si="28"/>
        <v>583.635</v>
      </c>
      <c r="J53" s="155">
        <v>13</v>
      </c>
      <c r="K53" s="156">
        <v>14</v>
      </c>
      <c r="L53" s="153">
        <f t="shared" si="29"/>
        <v>13.5</v>
      </c>
      <c r="M53" s="151">
        <v>270</v>
      </c>
      <c r="N53" s="152">
        <v>6</v>
      </c>
      <c r="O53" s="152">
        <v>0</v>
      </c>
      <c r="P53" s="152">
        <v>1</v>
      </c>
      <c r="Q53" s="152"/>
      <c r="R53" s="153"/>
      <c r="S53" s="157">
        <f t="shared" si="30"/>
        <v>-0.01735680032874465</v>
      </c>
      <c r="T53" s="158">
        <f t="shared" si="31"/>
        <v>0.10451254307640281</v>
      </c>
      <c r="U53" s="158">
        <f t="shared" si="32"/>
        <v>0.9943704248665338</v>
      </c>
      <c r="V53" s="149">
        <f t="shared" si="33"/>
        <v>99.42927109941905</v>
      </c>
      <c r="W53" s="115">
        <f t="shared" si="34"/>
        <v>83.91843294872984</v>
      </c>
      <c r="X53" s="159">
        <f t="shared" si="35"/>
        <v>279.42927109941905</v>
      </c>
      <c r="Y53" s="149">
        <f t="shared" si="36"/>
        <v>189.42927109941905</v>
      </c>
      <c r="Z53" s="115">
        <f t="shared" si="37"/>
        <v>6.081567051270156</v>
      </c>
      <c r="AA53" s="160">
        <f t="shared" si="38"/>
        <v>80.62285094745225</v>
      </c>
      <c r="AB53" s="119">
        <f t="shared" si="39"/>
        <v>80.62285094745225</v>
      </c>
      <c r="AC53" s="120">
        <f t="shared" si="40"/>
        <v>0.1629324803402805</v>
      </c>
      <c r="AD53" s="120">
        <f t="shared" si="41"/>
        <v>0.98108450564519</v>
      </c>
      <c r="AE53" s="120">
        <f t="shared" si="42"/>
        <v>0.10452846326765351</v>
      </c>
      <c r="AF53" s="121">
        <f t="shared" si="43"/>
        <v>270</v>
      </c>
      <c r="AG53" s="119">
        <f t="shared" si="44"/>
        <v>6.000000000000003</v>
      </c>
      <c r="AH53" s="122">
        <f t="shared" si="45"/>
        <v>5.1879543198526785E-06</v>
      </c>
      <c r="AI53" s="151">
        <v>9</v>
      </c>
      <c r="AJ53" s="153">
        <v>22</v>
      </c>
      <c r="AK53" s="151">
        <v>328.5</v>
      </c>
      <c r="AL53" s="152">
        <v>46.9</v>
      </c>
      <c r="AM53" s="159">
        <f t="shared" si="46"/>
        <v>310.92927109941905</v>
      </c>
      <c r="AN53" s="149">
        <f t="shared" si="47"/>
        <v>220.92927109941905</v>
      </c>
      <c r="AO53" s="115">
        <f t="shared" si="48"/>
        <v>6.081567051270156</v>
      </c>
      <c r="AP53" s="121"/>
      <c r="AQ53" s="161"/>
      <c r="AR53" s="121"/>
      <c r="AS53" s="162"/>
      <c r="AT53" s="163"/>
    </row>
    <row r="54" spans="1:46" ht="15">
      <c r="A54" s="151" t="s">
        <v>45</v>
      </c>
      <c r="B54" s="152" t="s">
        <v>99</v>
      </c>
      <c r="C54" s="152">
        <v>9</v>
      </c>
      <c r="D54" s="153">
        <v>1</v>
      </c>
      <c r="E54" s="151" t="s">
        <v>112</v>
      </c>
      <c r="F54" s="152"/>
      <c r="G54" s="154">
        <f t="shared" si="52"/>
        <v>583.69</v>
      </c>
      <c r="H54" s="154">
        <f t="shared" si="52"/>
        <v>583.7</v>
      </c>
      <c r="I54" s="109">
        <f t="shared" si="28"/>
        <v>583.695</v>
      </c>
      <c r="J54" s="155">
        <v>19</v>
      </c>
      <c r="K54" s="156">
        <v>20</v>
      </c>
      <c r="L54" s="153">
        <f t="shared" si="29"/>
        <v>19.5</v>
      </c>
      <c r="M54" s="151">
        <v>270</v>
      </c>
      <c r="N54" s="152">
        <v>11</v>
      </c>
      <c r="O54" s="152">
        <v>180</v>
      </c>
      <c r="P54" s="152">
        <v>1</v>
      </c>
      <c r="Q54" s="152"/>
      <c r="R54" s="153"/>
      <c r="S54" s="157">
        <f t="shared" si="30"/>
        <v>-0.017131756575414516</v>
      </c>
      <c r="T54" s="158">
        <f t="shared" si="31"/>
        <v>-0.19077993424234485</v>
      </c>
      <c r="U54" s="158">
        <f t="shared" si="32"/>
        <v>-0.9814776768730069</v>
      </c>
      <c r="V54" s="149">
        <f t="shared" si="33"/>
        <v>264.8686865981989</v>
      </c>
      <c r="W54" s="115">
        <f t="shared" si="34"/>
        <v>-78.9568242510489</v>
      </c>
      <c r="X54" s="159">
        <f t="shared" si="35"/>
        <v>264.8686865981989</v>
      </c>
      <c r="Y54" s="149">
        <f t="shared" si="36"/>
        <v>174.8686865981989</v>
      </c>
      <c r="Z54" s="115">
        <f t="shared" si="37"/>
        <v>11.0431757489511</v>
      </c>
      <c r="AA54" s="160">
        <f t="shared" si="38"/>
        <v>95.03679081454767</v>
      </c>
      <c r="AB54" s="119">
        <f t="shared" si="39"/>
        <v>95.03679081454767</v>
      </c>
      <c r="AC54" s="120">
        <f t="shared" si="40"/>
        <v>-0.08779540212036577</v>
      </c>
      <c r="AD54" s="120">
        <f t="shared" si="41"/>
        <v>0.9776931495361503</v>
      </c>
      <c r="AE54" s="120">
        <f t="shared" si="42"/>
        <v>0.19080899537654447</v>
      </c>
      <c r="AF54" s="121">
        <f t="shared" si="43"/>
        <v>270</v>
      </c>
      <c r="AG54" s="119">
        <f t="shared" si="44"/>
        <v>10.999999999999982</v>
      </c>
      <c r="AH54" s="122">
        <f t="shared" si="45"/>
        <v>-5.102986034040026E-06</v>
      </c>
      <c r="AI54" s="151">
        <v>9</v>
      </c>
      <c r="AJ54" s="153">
        <v>22</v>
      </c>
      <c r="AK54" s="151">
        <v>328.5</v>
      </c>
      <c r="AL54" s="152">
        <v>46.9</v>
      </c>
      <c r="AM54" s="159">
        <f t="shared" si="46"/>
        <v>296.3686865981989</v>
      </c>
      <c r="AN54" s="149">
        <f t="shared" si="47"/>
        <v>206.3686865981989</v>
      </c>
      <c r="AO54" s="115">
        <f t="shared" si="48"/>
        <v>11.0431757489511</v>
      </c>
      <c r="AP54" s="121"/>
      <c r="AQ54" s="161"/>
      <c r="AR54" s="121"/>
      <c r="AS54" s="162"/>
      <c r="AT54" s="163"/>
    </row>
    <row r="55" spans="1:46" ht="15">
      <c r="A55" s="151" t="s">
        <v>45</v>
      </c>
      <c r="B55" s="152" t="s">
        <v>99</v>
      </c>
      <c r="C55" s="152">
        <v>9</v>
      </c>
      <c r="D55" s="153">
        <v>1</v>
      </c>
      <c r="E55" s="151" t="s">
        <v>112</v>
      </c>
      <c r="F55" s="152"/>
      <c r="G55" s="154">
        <f t="shared" si="52"/>
        <v>583.7</v>
      </c>
      <c r="H55" s="154">
        <f t="shared" si="52"/>
        <v>583.71</v>
      </c>
      <c r="I55" s="109">
        <f t="shared" si="28"/>
        <v>583.705</v>
      </c>
      <c r="J55" s="155">
        <v>20</v>
      </c>
      <c r="K55" s="156">
        <v>21</v>
      </c>
      <c r="L55" s="153">
        <f t="shared" si="29"/>
        <v>20.5</v>
      </c>
      <c r="M55" s="151">
        <v>270</v>
      </c>
      <c r="N55" s="152">
        <v>8</v>
      </c>
      <c r="O55" s="152">
        <v>180</v>
      </c>
      <c r="P55" s="152">
        <v>1</v>
      </c>
      <c r="Q55" s="152"/>
      <c r="R55" s="153"/>
      <c r="S55" s="157">
        <f t="shared" si="30"/>
        <v>-0.01728256081754171</v>
      </c>
      <c r="T55" s="158">
        <f t="shared" si="31"/>
        <v>-0.13915190422268917</v>
      </c>
      <c r="U55" s="158">
        <f t="shared" si="32"/>
        <v>-0.9901172461182299</v>
      </c>
      <c r="V55" s="149">
        <f t="shared" si="33"/>
        <v>262.9201623862014</v>
      </c>
      <c r="W55" s="115">
        <f t="shared" si="34"/>
        <v>-81.93933913248244</v>
      </c>
      <c r="X55" s="159">
        <f t="shared" si="35"/>
        <v>262.9201623862014</v>
      </c>
      <c r="Y55" s="149">
        <f t="shared" si="36"/>
        <v>172.9201623862014</v>
      </c>
      <c r="Z55" s="115">
        <f t="shared" si="37"/>
        <v>8.060660867517555</v>
      </c>
      <c r="AA55" s="160">
        <f t="shared" si="38"/>
        <v>97.01058947321403</v>
      </c>
      <c r="AB55" s="119">
        <f t="shared" si="39"/>
        <v>97.01058947321403</v>
      </c>
      <c r="AC55" s="120">
        <f t="shared" si="40"/>
        <v>-0.12205278486727855</v>
      </c>
      <c r="AD55" s="120">
        <f t="shared" si="41"/>
        <v>0.9827176429042582</v>
      </c>
      <c r="AE55" s="120">
        <f t="shared" si="42"/>
        <v>0.13917310096006508</v>
      </c>
      <c r="AF55" s="121">
        <f t="shared" si="43"/>
        <v>270</v>
      </c>
      <c r="AG55" s="119">
        <f t="shared" si="44"/>
        <v>7.99999999999998</v>
      </c>
      <c r="AH55" s="122">
        <f t="shared" si="45"/>
        <v>-5.1743640010556045E-06</v>
      </c>
      <c r="AI55" s="151">
        <v>9</v>
      </c>
      <c r="AJ55" s="153">
        <v>22</v>
      </c>
      <c r="AK55" s="151">
        <v>328.5</v>
      </c>
      <c r="AL55" s="152">
        <v>46.9</v>
      </c>
      <c r="AM55" s="159">
        <f t="shared" si="46"/>
        <v>294.4201623862014</v>
      </c>
      <c r="AN55" s="149">
        <f t="shared" si="47"/>
        <v>204.4201623862014</v>
      </c>
      <c r="AO55" s="115">
        <f t="shared" si="48"/>
        <v>8.060660867517555</v>
      </c>
      <c r="AP55" s="121"/>
      <c r="AQ55" s="161"/>
      <c r="AR55" s="121"/>
      <c r="AS55" s="162"/>
      <c r="AT55" s="163"/>
    </row>
    <row r="56" spans="1:46" ht="15">
      <c r="A56" s="151" t="s">
        <v>45</v>
      </c>
      <c r="B56" s="152" t="s">
        <v>99</v>
      </c>
      <c r="C56" s="152">
        <v>9</v>
      </c>
      <c r="D56" s="153">
        <v>1</v>
      </c>
      <c r="E56" s="151" t="s">
        <v>112</v>
      </c>
      <c r="F56" s="152"/>
      <c r="G56" s="154">
        <f t="shared" si="52"/>
        <v>583.665</v>
      </c>
      <c r="H56" s="154">
        <f t="shared" si="52"/>
        <v>583.77</v>
      </c>
      <c r="I56" s="109">
        <f t="shared" si="28"/>
        <v>583.7175</v>
      </c>
      <c r="J56" s="155">
        <v>16.5</v>
      </c>
      <c r="K56" s="156">
        <v>27</v>
      </c>
      <c r="L56" s="153">
        <f t="shared" si="29"/>
        <v>21.75</v>
      </c>
      <c r="M56" s="151">
        <v>270</v>
      </c>
      <c r="N56" s="152">
        <v>6</v>
      </c>
      <c r="O56" s="152">
        <v>0</v>
      </c>
      <c r="P56" s="152">
        <v>3</v>
      </c>
      <c r="Q56" s="152"/>
      <c r="R56" s="153"/>
      <c r="S56" s="157">
        <f t="shared" si="30"/>
        <v>-0.05204925439864351</v>
      </c>
      <c r="T56" s="158">
        <f t="shared" si="31"/>
        <v>0.10438521064158734</v>
      </c>
      <c r="U56" s="158">
        <f t="shared" si="32"/>
        <v>0.9931589376748557</v>
      </c>
      <c r="V56" s="149">
        <f t="shared" si="33"/>
        <v>116.50206973598142</v>
      </c>
      <c r="W56" s="115">
        <f t="shared" si="34"/>
        <v>83.30154702070026</v>
      </c>
      <c r="X56" s="159">
        <f t="shared" si="35"/>
        <v>296.5020697359814</v>
      </c>
      <c r="Y56" s="149">
        <f t="shared" si="36"/>
        <v>206.50206973598142</v>
      </c>
      <c r="Z56" s="115">
        <f t="shared" si="37"/>
        <v>6.698452979299745</v>
      </c>
      <c r="AA56" s="160">
        <f t="shared" si="38"/>
        <v>63.65432912257597</v>
      </c>
      <c r="AB56" s="119">
        <f t="shared" si="39"/>
        <v>63.65432912257597</v>
      </c>
      <c r="AC56" s="120">
        <f t="shared" si="40"/>
        <v>0.44378564576266905</v>
      </c>
      <c r="AD56" s="120">
        <f t="shared" si="41"/>
        <v>0.8900157869284756</v>
      </c>
      <c r="AE56" s="120">
        <f t="shared" si="42"/>
        <v>0.10452846326765355</v>
      </c>
      <c r="AF56" s="121">
        <f t="shared" si="43"/>
        <v>270</v>
      </c>
      <c r="AG56" s="119">
        <f t="shared" si="44"/>
        <v>6.000000000000004</v>
      </c>
      <c r="AH56" s="122">
        <f t="shared" si="45"/>
        <v>1.413051428147621E-05</v>
      </c>
      <c r="AI56" s="151">
        <v>9</v>
      </c>
      <c r="AJ56" s="153">
        <v>22</v>
      </c>
      <c r="AK56" s="151">
        <v>328.5</v>
      </c>
      <c r="AL56" s="152">
        <v>46.9</v>
      </c>
      <c r="AM56" s="159">
        <f t="shared" si="46"/>
        <v>328.0020697359814</v>
      </c>
      <c r="AN56" s="149">
        <f t="shared" si="47"/>
        <v>238.00206973598142</v>
      </c>
      <c r="AO56" s="115">
        <f t="shared" si="48"/>
        <v>6.698452979299745</v>
      </c>
      <c r="AP56" s="121"/>
      <c r="AQ56" s="161"/>
      <c r="AR56" s="121"/>
      <c r="AS56" s="162"/>
      <c r="AT56" s="163"/>
    </row>
    <row r="57" spans="1:46" ht="15">
      <c r="A57" s="151" t="s">
        <v>45</v>
      </c>
      <c r="B57" s="152" t="s">
        <v>99</v>
      </c>
      <c r="C57" s="152">
        <v>9</v>
      </c>
      <c r="D57" s="153">
        <v>4</v>
      </c>
      <c r="E57" s="151" t="s">
        <v>98</v>
      </c>
      <c r="F57" s="152"/>
      <c r="G57" s="154">
        <f aca="true" t="shared" si="53" ref="G57:G67">J57/100+585.315</f>
        <v>585.475</v>
      </c>
      <c r="H57" s="154">
        <f aca="true" t="shared" si="54" ref="H57:H67">K57/100+585.315</f>
        <v>585.485</v>
      </c>
      <c r="I57" s="109">
        <f t="shared" si="28"/>
        <v>585.48</v>
      </c>
      <c r="J57" s="155">
        <v>16</v>
      </c>
      <c r="K57" s="156">
        <v>17</v>
      </c>
      <c r="L57" s="153">
        <f t="shared" si="29"/>
        <v>16.5</v>
      </c>
      <c r="M57" s="151">
        <v>90</v>
      </c>
      <c r="N57" s="152">
        <v>2</v>
      </c>
      <c r="O57" s="152"/>
      <c r="P57" s="152"/>
      <c r="Q57" s="152"/>
      <c r="R57" s="153"/>
      <c r="S57" s="157">
        <f t="shared" si="30"/>
        <v>0</v>
      </c>
      <c r="T57" s="158">
        <f t="shared" si="31"/>
        <v>0.03489949670250097</v>
      </c>
      <c r="U57" s="158">
        <f t="shared" si="32"/>
        <v>-0.9993908270190958</v>
      </c>
      <c r="V57" s="149">
        <f t="shared" si="33"/>
        <v>90</v>
      </c>
      <c r="W57" s="115">
        <f t="shared" si="34"/>
        <v>-88.00000000000024</v>
      </c>
      <c r="X57" s="159">
        <f t="shared" si="35"/>
        <v>90</v>
      </c>
      <c r="Y57" s="149">
        <f t="shared" si="36"/>
        <v>0</v>
      </c>
      <c r="Z57" s="115">
        <f t="shared" si="37"/>
        <v>1.9999999999997584</v>
      </c>
      <c r="AA57" s="160">
        <f t="shared" si="38"/>
        <v>90</v>
      </c>
      <c r="AB57" s="119">
        <f t="shared" si="39"/>
        <v>90</v>
      </c>
      <c r="AC57" s="120">
        <f t="shared" si="40"/>
        <v>6.1257422745431E-17</v>
      </c>
      <c r="AD57" s="120">
        <f t="shared" si="41"/>
        <v>0.9993908270190959</v>
      </c>
      <c r="AE57" s="120">
        <f t="shared" si="42"/>
        <v>0.03489949670249676</v>
      </c>
      <c r="AF57" s="121">
        <f t="shared" si="43"/>
        <v>90</v>
      </c>
      <c r="AG57" s="119">
        <f t="shared" si="44"/>
        <v>1.9999999999997589</v>
      </c>
      <c r="AH57" s="122">
        <f t="shared" si="45"/>
        <v>6.512272924364097E-22</v>
      </c>
      <c r="AI57" s="151">
        <v>14</v>
      </c>
      <c r="AJ57" s="153">
        <v>48</v>
      </c>
      <c r="AK57" s="151">
        <v>187.4</v>
      </c>
      <c r="AL57" s="152">
        <v>55.9</v>
      </c>
      <c r="AM57" s="159">
        <f t="shared" si="46"/>
        <v>262.6</v>
      </c>
      <c r="AN57" s="149">
        <f t="shared" si="47"/>
        <v>172.60000000000002</v>
      </c>
      <c r="AO57" s="115">
        <f t="shared" si="48"/>
        <v>1.9999999999997584</v>
      </c>
      <c r="AP57" s="121"/>
      <c r="AQ57" s="161"/>
      <c r="AR57" s="121"/>
      <c r="AS57" s="162"/>
      <c r="AT57" s="163"/>
    </row>
    <row r="58" spans="1:46" ht="15">
      <c r="A58" s="151" t="s">
        <v>45</v>
      </c>
      <c r="B58" s="152" t="s">
        <v>99</v>
      </c>
      <c r="C58" s="152">
        <v>9</v>
      </c>
      <c r="D58" s="153">
        <v>4</v>
      </c>
      <c r="E58" s="151" t="s">
        <v>112</v>
      </c>
      <c r="F58" s="152"/>
      <c r="G58" s="154">
        <f t="shared" si="53"/>
        <v>585.495</v>
      </c>
      <c r="H58" s="154">
        <f t="shared" si="54"/>
        <v>585.495</v>
      </c>
      <c r="I58" s="109">
        <f t="shared" si="28"/>
        <v>585.495</v>
      </c>
      <c r="J58" s="155">
        <v>18</v>
      </c>
      <c r="K58" s="156">
        <v>18</v>
      </c>
      <c r="L58" s="153">
        <f t="shared" si="29"/>
        <v>18</v>
      </c>
      <c r="M58" s="151">
        <v>90</v>
      </c>
      <c r="N58" s="152">
        <v>3</v>
      </c>
      <c r="O58" s="152">
        <v>180</v>
      </c>
      <c r="P58" s="152">
        <v>7</v>
      </c>
      <c r="Q58" s="152"/>
      <c r="R58" s="153"/>
      <c r="S58" s="157">
        <f t="shared" si="30"/>
        <v>0.12170232570552782</v>
      </c>
      <c r="T58" s="158">
        <f t="shared" si="31"/>
        <v>-0.05194585196140252</v>
      </c>
      <c r="U58" s="158">
        <f t="shared" si="32"/>
        <v>0.991185901636016</v>
      </c>
      <c r="V58" s="149">
        <f t="shared" si="33"/>
        <v>336.8858966206344</v>
      </c>
      <c r="W58" s="115">
        <f t="shared" si="34"/>
        <v>82.39589554630736</v>
      </c>
      <c r="X58" s="159">
        <f t="shared" si="35"/>
        <v>156.8858966206344</v>
      </c>
      <c r="Y58" s="149">
        <f t="shared" si="36"/>
        <v>66.88589662063441</v>
      </c>
      <c r="Z58" s="115">
        <f t="shared" si="37"/>
        <v>7.604104453692642</v>
      </c>
      <c r="AA58" s="160">
        <f t="shared" si="38"/>
        <v>23.297383365011353</v>
      </c>
      <c r="AB58" s="119">
        <f t="shared" si="39"/>
        <v>23.297383365011353</v>
      </c>
      <c r="AC58" s="120">
        <f t="shared" si="40"/>
        <v>0.9184644445116732</v>
      </c>
      <c r="AD58" s="120">
        <f t="shared" si="41"/>
        <v>0.3920255244904344</v>
      </c>
      <c r="AE58" s="120">
        <f t="shared" si="42"/>
        <v>0.05233595624294422</v>
      </c>
      <c r="AF58" s="121">
        <f t="shared" si="43"/>
        <v>90.00000000000001</v>
      </c>
      <c r="AG58" s="119">
        <f t="shared" si="44"/>
        <v>3.0000000000000226</v>
      </c>
      <c r="AH58" s="122">
        <f t="shared" si="45"/>
        <v>1.4641938788745178E-05</v>
      </c>
      <c r="AI58" s="151">
        <v>14</v>
      </c>
      <c r="AJ58" s="153">
        <v>48</v>
      </c>
      <c r="AK58" s="151">
        <v>187.4</v>
      </c>
      <c r="AL58" s="152">
        <v>55.9</v>
      </c>
      <c r="AM58" s="159">
        <f t="shared" si="46"/>
        <v>329.48589662063443</v>
      </c>
      <c r="AN58" s="149">
        <f t="shared" si="47"/>
        <v>239.48589662063443</v>
      </c>
      <c r="AO58" s="115">
        <f t="shared" si="48"/>
        <v>7.604104453692642</v>
      </c>
      <c r="AP58" s="121"/>
      <c r="AQ58" s="161"/>
      <c r="AR58" s="121"/>
      <c r="AS58" s="162"/>
      <c r="AT58" s="163"/>
    </row>
    <row r="59" spans="1:46" ht="15">
      <c r="A59" s="151" t="s">
        <v>45</v>
      </c>
      <c r="B59" s="152" t="s">
        <v>99</v>
      </c>
      <c r="C59" s="152">
        <v>9</v>
      </c>
      <c r="D59" s="153">
        <v>4</v>
      </c>
      <c r="E59" s="151" t="s">
        <v>112</v>
      </c>
      <c r="F59" s="152"/>
      <c r="G59" s="154">
        <f t="shared" si="53"/>
        <v>585.495</v>
      </c>
      <c r="H59" s="154">
        <f t="shared" si="54"/>
        <v>585.495</v>
      </c>
      <c r="I59" s="109">
        <f t="shared" si="28"/>
        <v>585.495</v>
      </c>
      <c r="J59" s="155">
        <v>18</v>
      </c>
      <c r="K59" s="156">
        <v>18</v>
      </c>
      <c r="L59" s="153">
        <f t="shared" si="29"/>
        <v>18</v>
      </c>
      <c r="M59" s="151">
        <v>90</v>
      </c>
      <c r="N59" s="152">
        <v>3</v>
      </c>
      <c r="O59" s="152">
        <v>180</v>
      </c>
      <c r="P59" s="152">
        <v>7</v>
      </c>
      <c r="Q59" s="152"/>
      <c r="R59" s="153"/>
      <c r="S59" s="157">
        <f t="shared" si="30"/>
        <v>0.12170232570552782</v>
      </c>
      <c r="T59" s="158">
        <f t="shared" si="31"/>
        <v>-0.05194585196140252</v>
      </c>
      <c r="U59" s="158">
        <f t="shared" si="32"/>
        <v>0.991185901636016</v>
      </c>
      <c r="V59" s="149">
        <f t="shared" si="33"/>
        <v>336.8858966206344</v>
      </c>
      <c r="W59" s="115">
        <f t="shared" si="34"/>
        <v>82.39589554630736</v>
      </c>
      <c r="X59" s="159">
        <f t="shared" si="35"/>
        <v>156.8858966206344</v>
      </c>
      <c r="Y59" s="149">
        <f t="shared" si="36"/>
        <v>66.88589662063441</v>
      </c>
      <c r="Z59" s="115">
        <f t="shared" si="37"/>
        <v>7.604104453692642</v>
      </c>
      <c r="AA59" s="160">
        <f t="shared" si="38"/>
        <v>23.297383365011353</v>
      </c>
      <c r="AB59" s="119">
        <f t="shared" si="39"/>
        <v>23.297383365011353</v>
      </c>
      <c r="AC59" s="120">
        <f t="shared" si="40"/>
        <v>0.9184644445116732</v>
      </c>
      <c r="AD59" s="120">
        <f t="shared" si="41"/>
        <v>0.3920255244904344</v>
      </c>
      <c r="AE59" s="120">
        <f t="shared" si="42"/>
        <v>0.05233595624294422</v>
      </c>
      <c r="AF59" s="121">
        <f t="shared" si="43"/>
        <v>90.00000000000001</v>
      </c>
      <c r="AG59" s="119">
        <f t="shared" si="44"/>
        <v>3.0000000000000226</v>
      </c>
      <c r="AH59" s="122">
        <f t="shared" si="45"/>
        <v>1.4641938788745178E-05</v>
      </c>
      <c r="AI59" s="151">
        <v>14</v>
      </c>
      <c r="AJ59" s="153">
        <v>48</v>
      </c>
      <c r="AK59" s="151">
        <v>187.4</v>
      </c>
      <c r="AL59" s="152">
        <v>55.9</v>
      </c>
      <c r="AM59" s="159">
        <f t="shared" si="46"/>
        <v>329.48589662063443</v>
      </c>
      <c r="AN59" s="149">
        <f t="shared" si="47"/>
        <v>239.48589662063443</v>
      </c>
      <c r="AO59" s="115">
        <f t="shared" si="48"/>
        <v>7.604104453692642</v>
      </c>
      <c r="AP59" s="121"/>
      <c r="AQ59" s="161"/>
      <c r="AR59" s="121"/>
      <c r="AS59" s="162"/>
      <c r="AT59" s="163"/>
    </row>
    <row r="60" spans="1:46" ht="15">
      <c r="A60" s="151" t="s">
        <v>45</v>
      </c>
      <c r="B60" s="152" t="s">
        <v>99</v>
      </c>
      <c r="C60" s="152">
        <v>9</v>
      </c>
      <c r="D60" s="153">
        <v>4</v>
      </c>
      <c r="E60" s="151" t="s">
        <v>48</v>
      </c>
      <c r="F60" s="152"/>
      <c r="G60" s="154">
        <f t="shared" si="53"/>
        <v>585.5250000000001</v>
      </c>
      <c r="H60" s="154">
        <f t="shared" si="54"/>
        <v>585.5250000000001</v>
      </c>
      <c r="I60" s="109">
        <f t="shared" si="28"/>
        <v>585.5250000000001</v>
      </c>
      <c r="J60" s="155">
        <v>21</v>
      </c>
      <c r="K60" s="156">
        <v>21</v>
      </c>
      <c r="L60" s="153">
        <f t="shared" si="29"/>
        <v>21</v>
      </c>
      <c r="M60" s="151">
        <v>90</v>
      </c>
      <c r="N60" s="152">
        <v>3</v>
      </c>
      <c r="O60" s="152">
        <v>180</v>
      </c>
      <c r="P60" s="152">
        <v>3</v>
      </c>
      <c r="Q60" s="152"/>
      <c r="R60" s="153"/>
      <c r="S60" s="157">
        <f t="shared" si="30"/>
        <v>0.05226423163382672</v>
      </c>
      <c r="T60" s="158">
        <f t="shared" si="31"/>
        <v>-0.05226423163382673</v>
      </c>
      <c r="U60" s="158">
        <f t="shared" si="32"/>
        <v>0.9972609476841365</v>
      </c>
      <c r="V60" s="149">
        <f t="shared" si="33"/>
        <v>315</v>
      </c>
      <c r="W60" s="115">
        <f t="shared" si="34"/>
        <v>85.76122797743554</v>
      </c>
      <c r="X60" s="159">
        <f t="shared" si="35"/>
        <v>135</v>
      </c>
      <c r="Y60" s="149">
        <f t="shared" si="36"/>
        <v>45</v>
      </c>
      <c r="Z60" s="115">
        <f t="shared" si="37"/>
        <v>4.238772022564461</v>
      </c>
      <c r="AA60" s="160">
        <f t="shared" si="38"/>
        <v>45.07846816689916</v>
      </c>
      <c r="AB60" s="119">
        <f t="shared" si="39"/>
        <v>45.07846816689916</v>
      </c>
      <c r="AC60" s="120">
        <f t="shared" si="40"/>
        <v>0.7061377159181261</v>
      </c>
      <c r="AD60" s="120">
        <f t="shared" si="41"/>
        <v>0.7061377159181262</v>
      </c>
      <c r="AE60" s="120">
        <f t="shared" si="42"/>
        <v>0.052335956242943925</v>
      </c>
      <c r="AF60" s="121">
        <f t="shared" si="43"/>
        <v>90</v>
      </c>
      <c r="AG60" s="119">
        <f t="shared" si="44"/>
        <v>3.0000000000000058</v>
      </c>
      <c r="AH60" s="122">
        <f t="shared" si="45"/>
        <v>1.1257274407678479E-05</v>
      </c>
      <c r="AI60" s="151">
        <v>14</v>
      </c>
      <c r="AJ60" s="153">
        <v>48</v>
      </c>
      <c r="AK60" s="151">
        <v>187.4</v>
      </c>
      <c r="AL60" s="152">
        <v>55.9</v>
      </c>
      <c r="AM60" s="159">
        <f t="shared" si="46"/>
        <v>307.6</v>
      </c>
      <c r="AN60" s="149">
        <f t="shared" si="47"/>
        <v>217.60000000000002</v>
      </c>
      <c r="AO60" s="115">
        <f t="shared" si="48"/>
        <v>4.238772022564461</v>
      </c>
      <c r="AP60" s="121"/>
      <c r="AQ60" s="161"/>
      <c r="AR60" s="121"/>
      <c r="AS60" s="162"/>
      <c r="AT60" s="163"/>
    </row>
    <row r="61" spans="1:46" ht="15">
      <c r="A61" s="151" t="s">
        <v>45</v>
      </c>
      <c r="B61" s="152" t="s">
        <v>99</v>
      </c>
      <c r="C61" s="152">
        <v>9</v>
      </c>
      <c r="D61" s="153">
        <v>4</v>
      </c>
      <c r="E61" s="151" t="s">
        <v>98</v>
      </c>
      <c r="F61" s="152"/>
      <c r="G61" s="154">
        <f t="shared" si="53"/>
        <v>585.5250000000001</v>
      </c>
      <c r="H61" s="154">
        <f t="shared" si="54"/>
        <v>585.715</v>
      </c>
      <c r="I61" s="109">
        <f t="shared" si="28"/>
        <v>585.6200000000001</v>
      </c>
      <c r="J61" s="155">
        <v>21</v>
      </c>
      <c r="K61" s="156">
        <v>40</v>
      </c>
      <c r="L61" s="153">
        <f t="shared" si="29"/>
        <v>30.5</v>
      </c>
      <c r="M61" s="151">
        <v>90</v>
      </c>
      <c r="N61" s="152">
        <v>85</v>
      </c>
      <c r="O61" s="152"/>
      <c r="P61" s="152"/>
      <c r="Q61" s="152"/>
      <c r="R61" s="153"/>
      <c r="S61" s="157">
        <f t="shared" si="30"/>
        <v>0</v>
      </c>
      <c r="T61" s="158">
        <f t="shared" si="31"/>
        <v>0.9961946980917455</v>
      </c>
      <c r="U61" s="158">
        <f t="shared" si="32"/>
        <v>-0.08715574274765814</v>
      </c>
      <c r="V61" s="149">
        <f t="shared" si="33"/>
        <v>90</v>
      </c>
      <c r="W61" s="115">
        <f t="shared" si="34"/>
        <v>-4.999999999999998</v>
      </c>
      <c r="X61" s="159">
        <f t="shared" si="35"/>
        <v>90</v>
      </c>
      <c r="Y61" s="149">
        <f t="shared" si="36"/>
        <v>0</v>
      </c>
      <c r="Z61" s="115">
        <f t="shared" si="37"/>
        <v>85</v>
      </c>
      <c r="AA61" s="160">
        <f t="shared" si="38"/>
        <v>90</v>
      </c>
      <c r="AB61" s="119">
        <f t="shared" si="39"/>
        <v>90</v>
      </c>
      <c r="AC61" s="120">
        <f t="shared" si="40"/>
        <v>6.1257422745431E-17</v>
      </c>
      <c r="AD61" s="120">
        <f t="shared" si="41"/>
        <v>0.08715574274765814</v>
      </c>
      <c r="AE61" s="120">
        <f t="shared" si="42"/>
        <v>0.9961946980917455</v>
      </c>
      <c r="AF61" s="121">
        <f t="shared" si="43"/>
        <v>89.99999999999997</v>
      </c>
      <c r="AG61" s="119">
        <f t="shared" si="44"/>
        <v>85</v>
      </c>
      <c r="AH61" s="122">
        <f t="shared" si="45"/>
        <v>1.8588134252784363E-20</v>
      </c>
      <c r="AI61" s="151">
        <v>10</v>
      </c>
      <c r="AJ61" s="153">
        <v>46</v>
      </c>
      <c r="AK61" s="151">
        <v>187.4</v>
      </c>
      <c r="AL61" s="152">
        <v>55.9</v>
      </c>
      <c r="AM61" s="159">
        <f t="shared" si="46"/>
        <v>262.6</v>
      </c>
      <c r="AN61" s="149">
        <f t="shared" si="47"/>
        <v>172.60000000000002</v>
      </c>
      <c r="AO61" s="115">
        <f t="shared" si="48"/>
        <v>85</v>
      </c>
      <c r="AP61" s="121"/>
      <c r="AQ61" s="161"/>
      <c r="AR61" s="121"/>
      <c r="AS61" s="162"/>
      <c r="AT61" s="163"/>
    </row>
    <row r="62" spans="1:46" ht="15">
      <c r="A62" s="151" t="s">
        <v>45</v>
      </c>
      <c r="B62" s="152" t="s">
        <v>99</v>
      </c>
      <c r="C62" s="152">
        <v>9</v>
      </c>
      <c r="D62" s="153">
        <v>4</v>
      </c>
      <c r="E62" s="151" t="s">
        <v>98</v>
      </c>
      <c r="F62" s="152"/>
      <c r="G62" s="154">
        <f t="shared" si="53"/>
        <v>585.815</v>
      </c>
      <c r="H62" s="154">
        <f t="shared" si="54"/>
        <v>586.0050000000001</v>
      </c>
      <c r="I62" s="109">
        <f t="shared" si="28"/>
        <v>585.9100000000001</v>
      </c>
      <c r="J62" s="155">
        <v>50</v>
      </c>
      <c r="K62" s="156">
        <v>69</v>
      </c>
      <c r="L62" s="153">
        <f t="shared" si="29"/>
        <v>59.5</v>
      </c>
      <c r="M62" s="151">
        <v>270</v>
      </c>
      <c r="N62" s="152">
        <v>75</v>
      </c>
      <c r="O62" s="152">
        <v>206</v>
      </c>
      <c r="P62" s="152">
        <v>0</v>
      </c>
      <c r="Q62" s="152"/>
      <c r="R62" s="153"/>
      <c r="S62" s="157">
        <f t="shared" si="30"/>
        <v>0.4234340121835257</v>
      </c>
      <c r="T62" s="158">
        <f t="shared" si="31"/>
        <v>-0.8681683818352182</v>
      </c>
      <c r="U62" s="158">
        <f t="shared" si="32"/>
        <v>-0.23262501680698122</v>
      </c>
      <c r="V62" s="149">
        <f t="shared" si="33"/>
        <v>296</v>
      </c>
      <c r="W62" s="115">
        <f t="shared" si="34"/>
        <v>-13.540751964121968</v>
      </c>
      <c r="X62" s="159">
        <f t="shared" si="35"/>
        <v>296</v>
      </c>
      <c r="Y62" s="149">
        <f t="shared" si="36"/>
        <v>206</v>
      </c>
      <c r="Z62" s="115">
        <f t="shared" si="37"/>
        <v>76.45924803587803</v>
      </c>
      <c r="AA62" s="160">
        <f t="shared" si="38"/>
        <v>83.48526093561044</v>
      </c>
      <c r="AB62" s="119">
        <f t="shared" si="39"/>
        <v>83.48526093561044</v>
      </c>
      <c r="AC62" s="120">
        <f t="shared" si="40"/>
        <v>0.11345880161244591</v>
      </c>
      <c r="AD62" s="120">
        <f t="shared" si="41"/>
        <v>0.2326250168069812</v>
      </c>
      <c r="AE62" s="120">
        <f t="shared" si="42"/>
        <v>0.9659258262890683</v>
      </c>
      <c r="AF62" s="121">
        <f t="shared" si="43"/>
        <v>270</v>
      </c>
      <c r="AG62" s="119">
        <f t="shared" si="44"/>
        <v>75.00000000000001</v>
      </c>
      <c r="AH62" s="122">
        <f t="shared" si="45"/>
        <v>3.338226876731864E-05</v>
      </c>
      <c r="AI62" s="151">
        <v>64</v>
      </c>
      <c r="AJ62" s="153">
        <v>70</v>
      </c>
      <c r="AK62" s="151">
        <v>135.1</v>
      </c>
      <c r="AL62" s="152">
        <v>51.4</v>
      </c>
      <c r="AM62" s="159">
        <f t="shared" si="46"/>
        <v>160.9</v>
      </c>
      <c r="AN62" s="149">
        <f t="shared" si="47"/>
        <v>70.9</v>
      </c>
      <c r="AO62" s="115">
        <f t="shared" si="48"/>
        <v>76.45924803587803</v>
      </c>
      <c r="AP62" s="121"/>
      <c r="AQ62" s="161"/>
      <c r="AR62" s="121"/>
      <c r="AS62" s="162"/>
      <c r="AT62" s="163"/>
    </row>
    <row r="63" spans="1:46" ht="15">
      <c r="A63" s="151" t="s">
        <v>45</v>
      </c>
      <c r="B63" s="152" t="s">
        <v>99</v>
      </c>
      <c r="C63" s="152">
        <v>9</v>
      </c>
      <c r="D63" s="153">
        <v>4</v>
      </c>
      <c r="E63" s="151" t="s">
        <v>98</v>
      </c>
      <c r="F63" s="152"/>
      <c r="G63" s="154">
        <f t="shared" si="53"/>
        <v>585.815</v>
      </c>
      <c r="H63" s="154">
        <f t="shared" si="54"/>
        <v>586.0050000000001</v>
      </c>
      <c r="I63" s="109">
        <f t="shared" si="28"/>
        <v>585.9100000000001</v>
      </c>
      <c r="J63" s="155">
        <v>50</v>
      </c>
      <c r="K63" s="156">
        <v>69</v>
      </c>
      <c r="L63" s="153">
        <f t="shared" si="29"/>
        <v>59.5</v>
      </c>
      <c r="M63" s="151">
        <v>90</v>
      </c>
      <c r="N63" s="152">
        <v>85</v>
      </c>
      <c r="O63" s="152">
        <v>22</v>
      </c>
      <c r="P63" s="152">
        <v>0</v>
      </c>
      <c r="Q63" s="152"/>
      <c r="R63" s="153"/>
      <c r="S63" s="157">
        <f t="shared" si="30"/>
        <v>-0.37318110223114176</v>
      </c>
      <c r="T63" s="158">
        <f t="shared" si="31"/>
        <v>0.9236556400757017</v>
      </c>
      <c r="U63" s="158">
        <f t="shared" si="32"/>
        <v>-0.080809397508405</v>
      </c>
      <c r="V63" s="149">
        <f t="shared" si="33"/>
        <v>112</v>
      </c>
      <c r="W63" s="115">
        <f t="shared" si="34"/>
        <v>-4.637569245331437</v>
      </c>
      <c r="X63" s="159">
        <f t="shared" si="35"/>
        <v>112</v>
      </c>
      <c r="Y63" s="149">
        <f t="shared" si="36"/>
        <v>22</v>
      </c>
      <c r="Z63" s="115">
        <f t="shared" si="37"/>
        <v>85.36243075466857</v>
      </c>
      <c r="AA63" s="160">
        <f t="shared" si="38"/>
        <v>88.12901095297323</v>
      </c>
      <c r="AB63" s="119">
        <f t="shared" si="39"/>
        <v>88.12901095297323</v>
      </c>
      <c r="AC63" s="120">
        <f t="shared" si="40"/>
        <v>0.03264911588733429</v>
      </c>
      <c r="AD63" s="120">
        <f t="shared" si="41"/>
        <v>0.080809397508405</v>
      </c>
      <c r="AE63" s="120">
        <f t="shared" si="42"/>
        <v>0.9961946980917454</v>
      </c>
      <c r="AF63" s="121">
        <f t="shared" si="43"/>
        <v>89.9999999999997</v>
      </c>
      <c r="AG63" s="119">
        <f t="shared" si="44"/>
        <v>84.99999999999994</v>
      </c>
      <c r="AH63" s="122">
        <f t="shared" si="45"/>
        <v>9.907144135441751E-06</v>
      </c>
      <c r="AI63" s="151">
        <v>64</v>
      </c>
      <c r="AJ63" s="153">
        <v>70</v>
      </c>
      <c r="AK63" s="151">
        <v>135.1</v>
      </c>
      <c r="AL63" s="152">
        <v>51.4</v>
      </c>
      <c r="AM63" s="159">
        <f t="shared" si="46"/>
        <v>336.9</v>
      </c>
      <c r="AN63" s="149">
        <f t="shared" si="47"/>
        <v>246.89999999999998</v>
      </c>
      <c r="AO63" s="115">
        <f t="shared" si="48"/>
        <v>85.36243075466857</v>
      </c>
      <c r="AP63" s="121"/>
      <c r="AQ63" s="161"/>
      <c r="AR63" s="121"/>
      <c r="AS63" s="162"/>
      <c r="AT63" s="163"/>
    </row>
    <row r="64" spans="1:46" ht="15">
      <c r="A64" s="151" t="s">
        <v>45</v>
      </c>
      <c r="B64" s="152" t="s">
        <v>99</v>
      </c>
      <c r="C64" s="152">
        <v>9</v>
      </c>
      <c r="D64" s="153">
        <v>4</v>
      </c>
      <c r="E64" s="151" t="s">
        <v>98</v>
      </c>
      <c r="F64" s="152"/>
      <c r="G64" s="154">
        <f t="shared" si="53"/>
        <v>585.815</v>
      </c>
      <c r="H64" s="154">
        <f t="shared" si="54"/>
        <v>586.0050000000001</v>
      </c>
      <c r="I64" s="109">
        <f t="shared" si="28"/>
        <v>585.9100000000001</v>
      </c>
      <c r="J64" s="155">
        <v>50</v>
      </c>
      <c r="K64" s="156">
        <v>69</v>
      </c>
      <c r="L64" s="153">
        <f t="shared" si="29"/>
        <v>59.5</v>
      </c>
      <c r="M64" s="151">
        <v>90</v>
      </c>
      <c r="N64" s="152">
        <v>5</v>
      </c>
      <c r="O64" s="152">
        <v>0</v>
      </c>
      <c r="P64" s="152">
        <v>10</v>
      </c>
      <c r="Q64" s="152"/>
      <c r="R64" s="153"/>
      <c r="S64" s="157">
        <f t="shared" si="30"/>
        <v>0.17298739392508944</v>
      </c>
      <c r="T64" s="158">
        <f t="shared" si="31"/>
        <v>0.08583165117743127</v>
      </c>
      <c r="U64" s="158">
        <f t="shared" si="32"/>
        <v>-0.9810602621904069</v>
      </c>
      <c r="V64" s="149">
        <f t="shared" si="33"/>
        <v>26.389359908893105</v>
      </c>
      <c r="W64" s="115">
        <f t="shared" si="34"/>
        <v>-78.86433605880526</v>
      </c>
      <c r="X64" s="159">
        <f t="shared" si="35"/>
        <v>26.389359908893105</v>
      </c>
      <c r="Y64" s="149">
        <f t="shared" si="36"/>
        <v>296.3893599088931</v>
      </c>
      <c r="Z64" s="115">
        <f t="shared" si="37"/>
        <v>11.135663941194736</v>
      </c>
      <c r="AA64" s="160">
        <f t="shared" si="38"/>
        <v>153.17456155419188</v>
      </c>
      <c r="AB64" s="119">
        <f t="shared" si="39"/>
        <v>153.17456155419188</v>
      </c>
      <c r="AC64" s="120">
        <f t="shared" si="40"/>
        <v>-0.8923855477836362</v>
      </c>
      <c r="AD64" s="120">
        <f t="shared" si="41"/>
        <v>0.4427774956036085</v>
      </c>
      <c r="AE64" s="120">
        <f t="shared" si="42"/>
        <v>0.0871557427476582</v>
      </c>
      <c r="AF64" s="121">
        <f t="shared" si="43"/>
        <v>89.99999999999997</v>
      </c>
      <c r="AG64" s="119">
        <f t="shared" si="44"/>
        <v>5.000000000000001</v>
      </c>
      <c r="AH64" s="122">
        <f t="shared" si="45"/>
        <v>-2.3691117430396337E-05</v>
      </c>
      <c r="AI64" s="151">
        <v>64</v>
      </c>
      <c r="AJ64" s="153">
        <v>70</v>
      </c>
      <c r="AK64" s="151">
        <v>135.1</v>
      </c>
      <c r="AL64" s="152">
        <v>51.4</v>
      </c>
      <c r="AM64" s="159">
        <f t="shared" si="46"/>
        <v>251.28935990889312</v>
      </c>
      <c r="AN64" s="149">
        <f t="shared" si="47"/>
        <v>161.28935990889312</v>
      </c>
      <c r="AO64" s="115">
        <f t="shared" si="48"/>
        <v>11.135663941194736</v>
      </c>
      <c r="AP64" s="121"/>
      <c r="AQ64" s="161"/>
      <c r="AR64" s="121"/>
      <c r="AS64" s="162"/>
      <c r="AT64" s="163"/>
    </row>
    <row r="65" spans="1:46" ht="15">
      <c r="A65" s="151" t="s">
        <v>45</v>
      </c>
      <c r="B65" s="152" t="s">
        <v>99</v>
      </c>
      <c r="C65" s="152">
        <v>9</v>
      </c>
      <c r="D65" s="153">
        <v>4</v>
      </c>
      <c r="E65" s="151" t="s">
        <v>98</v>
      </c>
      <c r="F65" s="152"/>
      <c r="G65" s="154">
        <f t="shared" si="53"/>
        <v>585.815</v>
      </c>
      <c r="H65" s="154">
        <f t="shared" si="54"/>
        <v>586.0050000000001</v>
      </c>
      <c r="I65" s="109">
        <f t="shared" si="28"/>
        <v>585.9100000000001</v>
      </c>
      <c r="J65" s="155">
        <v>50</v>
      </c>
      <c r="K65" s="156">
        <v>69</v>
      </c>
      <c r="L65" s="153">
        <f t="shared" si="29"/>
        <v>59.5</v>
      </c>
      <c r="M65" s="151">
        <v>270</v>
      </c>
      <c r="N65" s="152">
        <v>70</v>
      </c>
      <c r="O65" s="152">
        <v>5</v>
      </c>
      <c r="P65" s="152">
        <v>0</v>
      </c>
      <c r="Q65" s="152"/>
      <c r="R65" s="153"/>
      <c r="S65" s="157">
        <f t="shared" si="30"/>
        <v>-0.08189960831908932</v>
      </c>
      <c r="T65" s="158">
        <f t="shared" si="31"/>
        <v>0.9361168066628591</v>
      </c>
      <c r="U65" s="158">
        <f t="shared" si="32"/>
        <v>0.3407186534216102</v>
      </c>
      <c r="V65" s="149">
        <f t="shared" si="33"/>
        <v>95</v>
      </c>
      <c r="W65" s="115">
        <f t="shared" si="34"/>
        <v>19.929896064563035</v>
      </c>
      <c r="X65" s="159">
        <f t="shared" si="35"/>
        <v>275</v>
      </c>
      <c r="Y65" s="149">
        <f t="shared" si="36"/>
        <v>185</v>
      </c>
      <c r="Z65" s="115">
        <f t="shared" si="37"/>
        <v>70.07010393543696</v>
      </c>
      <c r="AA65" s="160">
        <f t="shared" si="38"/>
        <v>88.29181594458046</v>
      </c>
      <c r="AB65" s="119">
        <f t="shared" si="39"/>
        <v>88.29181594458046</v>
      </c>
      <c r="AC65" s="120">
        <f t="shared" si="40"/>
        <v>0.02980901962620888</v>
      </c>
      <c r="AD65" s="120">
        <f t="shared" si="41"/>
        <v>0.3407186534216103</v>
      </c>
      <c r="AE65" s="120">
        <f t="shared" si="42"/>
        <v>0.9396926207859083</v>
      </c>
      <c r="AF65" s="121">
        <f t="shared" si="43"/>
        <v>270.00000000000006</v>
      </c>
      <c r="AG65" s="119">
        <f t="shared" si="44"/>
        <v>69.99999999999999</v>
      </c>
      <c r="AH65" s="122">
        <f t="shared" si="45"/>
        <v>8.532351828507789E-06</v>
      </c>
      <c r="AI65" s="151">
        <v>64</v>
      </c>
      <c r="AJ65" s="153">
        <v>70</v>
      </c>
      <c r="AK65" s="151">
        <v>135.1</v>
      </c>
      <c r="AL65" s="152">
        <v>51.4</v>
      </c>
      <c r="AM65" s="159">
        <f t="shared" si="46"/>
        <v>139.9</v>
      </c>
      <c r="AN65" s="149">
        <f t="shared" si="47"/>
        <v>49.900000000000006</v>
      </c>
      <c r="AO65" s="115">
        <f t="shared" si="48"/>
        <v>70.07010393543696</v>
      </c>
      <c r="AP65" s="121"/>
      <c r="AQ65" s="161"/>
      <c r="AR65" s="121"/>
      <c r="AS65" s="162"/>
      <c r="AT65" s="163"/>
    </row>
    <row r="66" spans="1:46" ht="15">
      <c r="A66" s="151" t="s">
        <v>45</v>
      </c>
      <c r="B66" s="152" t="s">
        <v>99</v>
      </c>
      <c r="C66" s="152">
        <v>9</v>
      </c>
      <c r="D66" s="153">
        <v>4</v>
      </c>
      <c r="E66" s="151" t="s">
        <v>98</v>
      </c>
      <c r="F66" s="152"/>
      <c r="G66" s="154">
        <f t="shared" si="53"/>
        <v>586.245</v>
      </c>
      <c r="H66" s="154">
        <f t="shared" si="54"/>
        <v>586.2750000000001</v>
      </c>
      <c r="I66" s="109">
        <f t="shared" si="28"/>
        <v>586.26</v>
      </c>
      <c r="J66" s="155">
        <v>93</v>
      </c>
      <c r="K66" s="156">
        <v>96</v>
      </c>
      <c r="L66" s="153">
        <f t="shared" si="29"/>
        <v>94.5</v>
      </c>
      <c r="M66" s="151">
        <v>90</v>
      </c>
      <c r="N66" s="152">
        <v>4</v>
      </c>
      <c r="O66" s="152">
        <v>25</v>
      </c>
      <c r="P66" s="152">
        <v>0</v>
      </c>
      <c r="Q66" s="152"/>
      <c r="R66" s="153"/>
      <c r="S66" s="157">
        <f t="shared" si="30"/>
        <v>-0.029480359678902977</v>
      </c>
      <c r="T66" s="158">
        <f t="shared" si="31"/>
        <v>0.06322083535051838</v>
      </c>
      <c r="U66" s="158">
        <f t="shared" si="32"/>
        <v>-0.9041000668182987</v>
      </c>
      <c r="V66" s="149">
        <f t="shared" si="33"/>
        <v>115</v>
      </c>
      <c r="W66" s="115">
        <f t="shared" si="34"/>
        <v>-85.58804494851874</v>
      </c>
      <c r="X66" s="159">
        <f t="shared" si="35"/>
        <v>115</v>
      </c>
      <c r="Y66" s="149">
        <f t="shared" si="36"/>
        <v>25</v>
      </c>
      <c r="Z66" s="115">
        <f t="shared" si="37"/>
        <v>4.411955051481257</v>
      </c>
      <c r="AA66" s="160">
        <f t="shared" si="38"/>
        <v>65.06506517830167</v>
      </c>
      <c r="AB66" s="119">
        <f t="shared" si="39"/>
        <v>65.06506517830167</v>
      </c>
      <c r="AC66" s="120">
        <f t="shared" si="40"/>
        <v>0.4215887848958185</v>
      </c>
      <c r="AD66" s="120">
        <f t="shared" si="41"/>
        <v>0.9041000668182988</v>
      </c>
      <c r="AE66" s="120">
        <f t="shared" si="42"/>
        <v>0.06975647374412637</v>
      </c>
      <c r="AF66" s="121">
        <f t="shared" si="43"/>
        <v>90.00000000000001</v>
      </c>
      <c r="AG66" s="119">
        <f t="shared" si="44"/>
        <v>4.000000000000062</v>
      </c>
      <c r="AH66" s="122">
        <f t="shared" si="45"/>
        <v>8.958272658353648E-06</v>
      </c>
      <c r="AI66" s="151">
        <v>50</v>
      </c>
      <c r="AJ66" s="153">
        <v>96</v>
      </c>
      <c r="AK66" s="151">
        <v>135.1</v>
      </c>
      <c r="AL66" s="152">
        <v>51.4</v>
      </c>
      <c r="AM66" s="159">
        <f t="shared" si="46"/>
        <v>339.9</v>
      </c>
      <c r="AN66" s="149">
        <f t="shared" si="47"/>
        <v>249.89999999999998</v>
      </c>
      <c r="AO66" s="115">
        <f t="shared" si="48"/>
        <v>4.411955051481257</v>
      </c>
      <c r="AP66" s="121"/>
      <c r="AQ66" s="161"/>
      <c r="AR66" s="121"/>
      <c r="AS66" s="162"/>
      <c r="AT66" s="163"/>
    </row>
    <row r="67" spans="1:46" ht="15">
      <c r="A67" s="151" t="s">
        <v>45</v>
      </c>
      <c r="B67" s="152" t="s">
        <v>99</v>
      </c>
      <c r="C67" s="152">
        <v>9</v>
      </c>
      <c r="D67" s="153">
        <v>4</v>
      </c>
      <c r="E67" s="151" t="s">
        <v>112</v>
      </c>
      <c r="F67" s="152"/>
      <c r="G67" s="154">
        <f t="shared" si="53"/>
        <v>586.2550000000001</v>
      </c>
      <c r="H67" s="154">
        <f t="shared" si="54"/>
        <v>586.2650000000001</v>
      </c>
      <c r="I67" s="109">
        <f aca="true" t="shared" si="55" ref="I67:I98">(G67+H67)/2</f>
        <v>586.2600000000001</v>
      </c>
      <c r="J67" s="155">
        <v>94</v>
      </c>
      <c r="K67" s="156">
        <v>95</v>
      </c>
      <c r="L67" s="153">
        <f aca="true" t="shared" si="56" ref="L67:L98">(+J67+K67)/2</f>
        <v>94.5</v>
      </c>
      <c r="M67" s="151">
        <v>90</v>
      </c>
      <c r="N67" s="152">
        <v>14</v>
      </c>
      <c r="O67" s="152">
        <v>0</v>
      </c>
      <c r="P67" s="152">
        <v>7</v>
      </c>
      <c r="Q67" s="152"/>
      <c r="R67" s="153"/>
      <c r="S67" s="157">
        <f aca="true" t="shared" si="57" ref="S67:S84">COS(N67*PI()/180)*SIN(M67*PI()/180)*(SIN(P67*PI()/180))-(COS(P67*PI()/180)*SIN(O67*PI()/180))*(SIN(N67*PI()/180))</f>
        <v>0.11824930307007639</v>
      </c>
      <c r="T67" s="158">
        <f aca="true" t="shared" si="58" ref="T67:T84">(SIN(N67*PI()/180))*(COS(P67*PI()/180)*COS(O67*PI()/180))-(SIN(P67*PI()/180))*(COS(N67*PI()/180)*COS(M67*PI()/180))</f>
        <v>0.24011864647522388</v>
      </c>
      <c r="U67" s="158">
        <f aca="true" t="shared" si="59" ref="U67:U84">(COS(N67*PI()/180)*COS(M67*PI()/180))*(COS(P67*PI()/180)*SIN(O67*PI()/180))-(COS(N67*PI()/180)*SIN(M67*PI()/180))*(COS(P67*PI()/180)*COS(O67*PI()/180))</f>
        <v>-0.9630632890692619</v>
      </c>
      <c r="V67" s="149">
        <f aca="true" t="shared" si="60" ref="V67:V84">IF(S67=0,IF(T67&gt;=0,90,270),IF(S67&gt;0,IF(T67&gt;=0,ATAN(T67/S67)*180/PI(),ATAN(T67/S67)*180/PI()+360),ATAN(T67/S67)*180/PI()+180))</f>
        <v>63.78150713318762</v>
      </c>
      <c r="W67" s="115">
        <f aca="true" t="shared" si="61" ref="W67:W84">ASIN(U67/SQRT(S67^2+T67^2+U67^2))*180/PI()</f>
        <v>-74.4682309718619</v>
      </c>
      <c r="X67" s="159">
        <f aca="true" t="shared" si="62" ref="X67:X84">IF(U67&lt;0,V67,IF(V67+180&gt;=360,V67-180,V67+180))</f>
        <v>63.78150713318762</v>
      </c>
      <c r="Y67" s="149">
        <f aca="true" t="shared" si="63" ref="Y67:Y98">IF(X67-90&lt;0,X67+270,X67-90)</f>
        <v>333.78150713318763</v>
      </c>
      <c r="Z67" s="115">
        <f aca="true" t="shared" si="64" ref="Z67:Z84">IF(U67&lt;0,90+W67,90-W67)</f>
        <v>15.5317690281381</v>
      </c>
      <c r="AA67" s="160">
        <f aca="true" t="shared" si="65" ref="AA67:AA84">IF(-T67&lt;0,180-ACOS(SIN((X67-90)*PI()/180)*U67/SQRT(T67^2+U67^2))*180/PI(),ACOS(SIN((X67-90)*PI()/180)*U67/SQRT(T67^2+U67^2))*180/PI())</f>
        <v>115.38332522264672</v>
      </c>
      <c r="AB67" s="119">
        <f aca="true" t="shared" si="66" ref="AB67:AB98">IF(R67=90,IF(AA67-Q67&lt;0,AA67-Q67+180,AA67-Q67),IF(AA67+Q67&gt;180,AA67+Q67-180,AA67+Q67))</f>
        <v>115.38332522264672</v>
      </c>
      <c r="AC67" s="120">
        <f aca="true" t="shared" si="67" ref="AC67:AC98">COS(AB67*PI()/180)</f>
        <v>-0.42867221778214226</v>
      </c>
      <c r="AD67" s="120">
        <f aca="true" t="shared" si="68" ref="AD67:AD84">SIN(AB67*PI()/180)*COS(Z67*PI()/180)</f>
        <v>0.8704676479520667</v>
      </c>
      <c r="AE67" s="120">
        <f aca="true" t="shared" si="69" ref="AE67:AE84">SIN(AB67*PI()/180)*SIN(Z67*PI()/180)</f>
        <v>0.24192189559966779</v>
      </c>
      <c r="AF67" s="121">
        <f aca="true" t="shared" si="70" ref="AF67:AF84">IF(IF(AC67=0,IF(AD67&gt;=0,90,270),IF(AC67&gt;0,IF(AD67&gt;=0,ATAN(AD67/AC67)*180/PI(),ATAN(AD67/AC67)*180/PI()+360),ATAN(AD67/AC67)*180/PI()+180))-(360-Y67)&lt;0,IF(AC67=0,IF(AD67&gt;=0,90,270),IF(AC67&gt;0,IF(AD67&gt;=0,ATAN(AD67/AC67)*180/PI(),ATAN(AD67/AC67)*180/PI()+360),ATAN(AD67/AC67)*180/PI()+180))+Y67,IF(AC67=0,IF(AD67&gt;=0,90,270),IF(AC67&gt;0,IF(AD67&gt;=0,ATAN(AD67/AC67)*180/PI(),ATAN(AD67/AC67)*180/PI()+360),ATAN(AD67/AC67)*180/PI()+180))-(360-Y67))</f>
        <v>89.99999999999999</v>
      </c>
      <c r="AG67" s="119">
        <f aca="true" t="shared" si="71" ref="AG67:AG84">ASIN(AE67/SQRT(AC67^2+AD67^2+AE67^2))*180/PI()</f>
        <v>14.000000000000005</v>
      </c>
      <c r="AH67" s="122">
        <f aca="true" t="shared" si="72" ref="AH67:AH84">SIN(AE67*PI()/180)*SIN(AC67*PI()/180)</f>
        <v>-3.1590020492545345E-05</v>
      </c>
      <c r="AI67" s="151">
        <v>50</v>
      </c>
      <c r="AJ67" s="153">
        <v>96</v>
      </c>
      <c r="AK67" s="151">
        <v>135.1</v>
      </c>
      <c r="AL67" s="152">
        <v>51.4</v>
      </c>
      <c r="AM67" s="159">
        <f aca="true" t="shared" si="73" ref="AM67:AM98">IF(AL67&gt;=0,IF(X67&gt;=AK67,X67-AK67,X67-AK67+360),IF((X67-AK67-180)&lt;0,IF(X67-AK67+180&lt;0,X67-AK67+540,X67-AK67+180),X67-AK67-180))</f>
        <v>288.6815071331876</v>
      </c>
      <c r="AN67" s="149">
        <f aca="true" t="shared" si="74" ref="AN67:AN98">IF(AM67-90&lt;0,AM67+270,AM67-90)</f>
        <v>198.6815071331876</v>
      </c>
      <c r="AO67" s="115">
        <f aca="true" t="shared" si="75" ref="AO67:AO84">Z67</f>
        <v>15.5317690281381</v>
      </c>
      <c r="AP67" s="121"/>
      <c r="AQ67" s="161"/>
      <c r="AR67" s="121"/>
      <c r="AS67" s="162"/>
      <c r="AT67" s="163"/>
    </row>
    <row r="68" spans="1:46" ht="15">
      <c r="A68" s="151" t="s">
        <v>45</v>
      </c>
      <c r="B68" s="152" t="s">
        <v>99</v>
      </c>
      <c r="C68" s="152">
        <v>9</v>
      </c>
      <c r="D68" s="153">
        <v>5</v>
      </c>
      <c r="E68" s="151" t="s">
        <v>47</v>
      </c>
      <c r="F68" s="152" t="s">
        <v>107</v>
      </c>
      <c r="G68" s="154">
        <f aca="true" t="shared" si="76" ref="G68:H71">J68/100+586.385</f>
        <v>586.385</v>
      </c>
      <c r="H68" s="154">
        <f t="shared" si="76"/>
        <v>586.775</v>
      </c>
      <c r="I68" s="109">
        <f t="shared" si="55"/>
        <v>586.5799999999999</v>
      </c>
      <c r="J68" s="155">
        <v>0</v>
      </c>
      <c r="K68" s="156">
        <v>39</v>
      </c>
      <c r="L68" s="153">
        <f t="shared" si="56"/>
        <v>19.5</v>
      </c>
      <c r="M68" s="151">
        <v>90</v>
      </c>
      <c r="N68" s="152">
        <v>88</v>
      </c>
      <c r="O68" s="152">
        <v>351</v>
      </c>
      <c r="P68" s="152">
        <v>0</v>
      </c>
      <c r="Q68" s="152"/>
      <c r="R68" s="153"/>
      <c r="S68" s="157">
        <f t="shared" si="57"/>
        <v>0.1563391693908464</v>
      </c>
      <c r="T68" s="158">
        <f t="shared" si="58"/>
        <v>0.9870866675444929</v>
      </c>
      <c r="U68" s="158">
        <f t="shared" si="59"/>
        <v>-0.03446982598569877</v>
      </c>
      <c r="V68" s="149">
        <f t="shared" si="60"/>
        <v>80.99999999999999</v>
      </c>
      <c r="W68" s="115">
        <f t="shared" si="61"/>
        <v>-1.9753963107341967</v>
      </c>
      <c r="X68" s="159">
        <f t="shared" si="62"/>
        <v>80.99999999999999</v>
      </c>
      <c r="Y68" s="149">
        <f t="shared" si="63"/>
        <v>351</v>
      </c>
      <c r="Z68" s="115">
        <f t="shared" si="64"/>
        <v>88.0246036892658</v>
      </c>
      <c r="AA68" s="160">
        <f t="shared" si="65"/>
        <v>90.31280695099913</v>
      </c>
      <c r="AB68" s="119">
        <f t="shared" si="66"/>
        <v>90.31280695099913</v>
      </c>
      <c r="AC68" s="120">
        <f t="shared" si="67"/>
        <v>-0.005459484096828934</v>
      </c>
      <c r="AD68" s="120">
        <f t="shared" si="68"/>
        <v>0.034469825985698976</v>
      </c>
      <c r="AE68" s="120">
        <f t="shared" si="69"/>
        <v>0.9993908270190957</v>
      </c>
      <c r="AF68" s="121">
        <f t="shared" si="70"/>
        <v>89.99999999999974</v>
      </c>
      <c r="AG68" s="119">
        <f t="shared" si="71"/>
        <v>87.99999999999986</v>
      </c>
      <c r="AH68" s="122">
        <f t="shared" si="72"/>
        <v>-1.6619565918459071E-06</v>
      </c>
      <c r="AI68" s="151">
        <v>0</v>
      </c>
      <c r="AJ68" s="153">
        <v>39</v>
      </c>
      <c r="AK68" s="151">
        <v>296.5</v>
      </c>
      <c r="AL68" s="152">
        <v>52</v>
      </c>
      <c r="AM68" s="159">
        <f t="shared" si="73"/>
        <v>144.5</v>
      </c>
      <c r="AN68" s="149">
        <f t="shared" si="74"/>
        <v>54.5</v>
      </c>
      <c r="AO68" s="115">
        <f t="shared" si="75"/>
        <v>88.0246036892658</v>
      </c>
      <c r="AP68" s="121"/>
      <c r="AQ68" s="161"/>
      <c r="AR68" s="121"/>
      <c r="AS68" s="162"/>
      <c r="AT68" s="163"/>
    </row>
    <row r="69" spans="1:46" ht="15">
      <c r="A69" s="151" t="s">
        <v>45</v>
      </c>
      <c r="B69" s="152" t="s">
        <v>99</v>
      </c>
      <c r="C69" s="152">
        <v>9</v>
      </c>
      <c r="D69" s="153">
        <v>5</v>
      </c>
      <c r="E69" s="151" t="s">
        <v>98</v>
      </c>
      <c r="F69" s="152"/>
      <c r="G69" s="154">
        <f t="shared" si="76"/>
        <v>586.665</v>
      </c>
      <c r="H69" s="154">
        <f t="shared" si="76"/>
        <v>586.705</v>
      </c>
      <c r="I69" s="109">
        <f t="shared" si="55"/>
        <v>586.685</v>
      </c>
      <c r="J69" s="155">
        <v>28</v>
      </c>
      <c r="K69" s="156">
        <v>32</v>
      </c>
      <c r="L69" s="153">
        <f t="shared" si="56"/>
        <v>30</v>
      </c>
      <c r="M69" s="151">
        <v>90</v>
      </c>
      <c r="N69" s="152">
        <v>87</v>
      </c>
      <c r="O69" s="152">
        <v>15</v>
      </c>
      <c r="P69" s="152">
        <v>0</v>
      </c>
      <c r="Q69" s="152"/>
      <c r="R69" s="153"/>
      <c r="S69" s="157">
        <f t="shared" si="57"/>
        <v>-0.25846434259635337</v>
      </c>
      <c r="T69" s="158">
        <f t="shared" si="58"/>
        <v>0.9646020585144796</v>
      </c>
      <c r="U69" s="158">
        <f t="shared" si="59"/>
        <v>-0.05055265177859417</v>
      </c>
      <c r="V69" s="149">
        <f t="shared" si="60"/>
        <v>104.99999999999999</v>
      </c>
      <c r="W69" s="115">
        <f t="shared" si="61"/>
        <v>-2.8979547929273304</v>
      </c>
      <c r="X69" s="159">
        <f t="shared" si="62"/>
        <v>104.99999999999999</v>
      </c>
      <c r="Y69" s="149">
        <f t="shared" si="63"/>
        <v>14.999999999999986</v>
      </c>
      <c r="Z69" s="115">
        <f t="shared" si="64"/>
        <v>87.10204520707266</v>
      </c>
      <c r="AA69" s="160">
        <f t="shared" si="65"/>
        <v>89.22387386422342</v>
      </c>
      <c r="AB69" s="119">
        <f t="shared" si="66"/>
        <v>89.22387386422342</v>
      </c>
      <c r="AC69" s="120">
        <f t="shared" si="67"/>
        <v>0.013545542219326087</v>
      </c>
      <c r="AD69" s="120">
        <f t="shared" si="68"/>
        <v>0.05055265177859449</v>
      </c>
      <c r="AE69" s="120">
        <f t="shared" si="69"/>
        <v>0.9986295347545739</v>
      </c>
      <c r="AF69" s="121">
        <f t="shared" si="70"/>
        <v>90.00000000000006</v>
      </c>
      <c r="AG69" s="119">
        <f t="shared" si="71"/>
        <v>87.00000000000009</v>
      </c>
      <c r="AH69" s="122">
        <f t="shared" si="72"/>
        <v>4.120344634712578E-06</v>
      </c>
      <c r="AI69" s="151">
        <v>0</v>
      </c>
      <c r="AJ69" s="153">
        <v>39</v>
      </c>
      <c r="AK69" s="151">
        <v>296.5</v>
      </c>
      <c r="AL69" s="152">
        <v>52</v>
      </c>
      <c r="AM69" s="159">
        <f t="shared" si="73"/>
        <v>168.5</v>
      </c>
      <c r="AN69" s="149">
        <f t="shared" si="74"/>
        <v>78.5</v>
      </c>
      <c r="AO69" s="115">
        <f t="shared" si="75"/>
        <v>87.10204520707266</v>
      </c>
      <c r="AP69" s="121"/>
      <c r="AQ69" s="161"/>
      <c r="AR69" s="121"/>
      <c r="AS69" s="162"/>
      <c r="AT69" s="163"/>
    </row>
    <row r="70" spans="1:46" ht="15">
      <c r="A70" s="151" t="s">
        <v>45</v>
      </c>
      <c r="B70" s="152" t="s">
        <v>99</v>
      </c>
      <c r="C70" s="152">
        <v>9</v>
      </c>
      <c r="D70" s="153">
        <v>5</v>
      </c>
      <c r="E70" s="151" t="s">
        <v>112</v>
      </c>
      <c r="F70" s="152"/>
      <c r="G70" s="154">
        <f t="shared" si="76"/>
        <v>586.625</v>
      </c>
      <c r="H70" s="154">
        <f t="shared" si="76"/>
        <v>586.755</v>
      </c>
      <c r="I70" s="109">
        <f t="shared" si="55"/>
        <v>586.69</v>
      </c>
      <c r="J70" s="155">
        <v>24</v>
      </c>
      <c r="K70" s="156">
        <v>37</v>
      </c>
      <c r="L70" s="153">
        <f t="shared" si="56"/>
        <v>30.5</v>
      </c>
      <c r="M70" s="151">
        <v>90</v>
      </c>
      <c r="N70" s="152">
        <v>89</v>
      </c>
      <c r="O70" s="152">
        <v>8</v>
      </c>
      <c r="P70" s="152">
        <v>0</v>
      </c>
      <c r="Q70" s="152"/>
      <c r="R70" s="153"/>
      <c r="S70" s="157">
        <f t="shared" si="57"/>
        <v>-0.13915190422268917</v>
      </c>
      <c r="T70" s="158">
        <f t="shared" si="58"/>
        <v>0.9901172461182299</v>
      </c>
      <c r="U70" s="158">
        <f t="shared" si="59"/>
        <v>-0.01728256081754156</v>
      </c>
      <c r="V70" s="149">
        <f t="shared" si="60"/>
        <v>98</v>
      </c>
      <c r="W70" s="115">
        <f t="shared" si="61"/>
        <v>-0.9902700162167921</v>
      </c>
      <c r="X70" s="159">
        <f t="shared" si="62"/>
        <v>98</v>
      </c>
      <c r="Y70" s="149">
        <f t="shared" si="63"/>
        <v>8</v>
      </c>
      <c r="Z70" s="115">
        <f t="shared" si="64"/>
        <v>89.0097299837832</v>
      </c>
      <c r="AA70" s="160">
        <f t="shared" si="65"/>
        <v>89.86083382785353</v>
      </c>
      <c r="AB70" s="119">
        <f t="shared" si="66"/>
        <v>89.86083382785353</v>
      </c>
      <c r="AC70" s="120">
        <f t="shared" si="67"/>
        <v>0.0024289055230922382</v>
      </c>
      <c r="AD70" s="120">
        <f t="shared" si="68"/>
        <v>0.017282560817541707</v>
      </c>
      <c r="AE70" s="120">
        <f t="shared" si="69"/>
        <v>0.9998476951563912</v>
      </c>
      <c r="AF70" s="121">
        <f t="shared" si="70"/>
        <v>89.99999999999974</v>
      </c>
      <c r="AG70" s="119">
        <f t="shared" si="71"/>
        <v>88.99999999999976</v>
      </c>
      <c r="AH70" s="122">
        <f t="shared" si="72"/>
        <v>7.397366987558715E-07</v>
      </c>
      <c r="AI70" s="151">
        <v>0</v>
      </c>
      <c r="AJ70" s="153">
        <v>39</v>
      </c>
      <c r="AK70" s="151">
        <v>296.5</v>
      </c>
      <c r="AL70" s="152">
        <v>42</v>
      </c>
      <c r="AM70" s="159">
        <f t="shared" si="73"/>
        <v>161.5</v>
      </c>
      <c r="AN70" s="149">
        <f t="shared" si="74"/>
        <v>71.5</v>
      </c>
      <c r="AO70" s="115">
        <f t="shared" si="75"/>
        <v>89.0097299837832</v>
      </c>
      <c r="AP70" s="121"/>
      <c r="AQ70" s="161"/>
      <c r="AR70" s="121"/>
      <c r="AS70" s="162"/>
      <c r="AT70" s="163"/>
    </row>
    <row r="71" spans="1:46" ht="15">
      <c r="A71" s="151" t="s">
        <v>45</v>
      </c>
      <c r="B71" s="152" t="s">
        <v>99</v>
      </c>
      <c r="C71" s="152">
        <v>9</v>
      </c>
      <c r="D71" s="153">
        <v>5</v>
      </c>
      <c r="E71" s="151" t="s">
        <v>47</v>
      </c>
      <c r="F71" s="152" t="s">
        <v>107</v>
      </c>
      <c r="G71" s="154">
        <f t="shared" si="76"/>
        <v>587.4449999999999</v>
      </c>
      <c r="H71" s="154">
        <f t="shared" si="76"/>
        <v>587.495</v>
      </c>
      <c r="I71" s="109">
        <f t="shared" si="55"/>
        <v>587.47</v>
      </c>
      <c r="J71" s="155">
        <v>106</v>
      </c>
      <c r="K71" s="156">
        <v>111</v>
      </c>
      <c r="L71" s="153">
        <f t="shared" si="56"/>
        <v>108.5</v>
      </c>
      <c r="M71" s="151">
        <v>90</v>
      </c>
      <c r="N71" s="152">
        <v>38</v>
      </c>
      <c r="O71" s="152">
        <v>50</v>
      </c>
      <c r="P71" s="152">
        <v>0</v>
      </c>
      <c r="Q71" s="152"/>
      <c r="R71" s="153"/>
      <c r="S71" s="157">
        <f t="shared" si="57"/>
        <v>-0.4716240520156522</v>
      </c>
      <c r="T71" s="158">
        <f t="shared" si="58"/>
        <v>0.3957395681006682</v>
      </c>
      <c r="U71" s="158">
        <f t="shared" si="59"/>
        <v>-0.5065235487181534</v>
      </c>
      <c r="V71" s="149">
        <f t="shared" si="60"/>
        <v>140</v>
      </c>
      <c r="W71" s="115">
        <f t="shared" si="61"/>
        <v>-39.445177528005395</v>
      </c>
      <c r="X71" s="159">
        <f t="shared" si="62"/>
        <v>140</v>
      </c>
      <c r="Y71" s="149">
        <f t="shared" si="63"/>
        <v>50</v>
      </c>
      <c r="Z71" s="115">
        <f t="shared" si="64"/>
        <v>50.554822471994605</v>
      </c>
      <c r="AA71" s="160">
        <f t="shared" si="65"/>
        <v>52.86815017500362</v>
      </c>
      <c r="AB71" s="119">
        <f t="shared" si="66"/>
        <v>52.86815017500362</v>
      </c>
      <c r="AC71" s="120">
        <f t="shared" si="67"/>
        <v>0.6036512589184275</v>
      </c>
      <c r="AD71" s="120">
        <f t="shared" si="68"/>
        <v>0.5065235487181534</v>
      </c>
      <c r="AE71" s="120">
        <f t="shared" si="69"/>
        <v>0.6156614753256583</v>
      </c>
      <c r="AF71" s="121">
        <f t="shared" si="70"/>
        <v>90.00000000000001</v>
      </c>
      <c r="AG71" s="119">
        <f t="shared" si="71"/>
        <v>38</v>
      </c>
      <c r="AH71" s="122">
        <f t="shared" si="72"/>
        <v>0.00011320521466741264</v>
      </c>
      <c r="AI71" s="151">
        <v>109</v>
      </c>
      <c r="AJ71" s="153">
        <v>115</v>
      </c>
      <c r="AK71" s="151">
        <v>18.4</v>
      </c>
      <c r="AL71" s="152">
        <v>54.1</v>
      </c>
      <c r="AM71" s="159">
        <f t="shared" si="73"/>
        <v>121.6</v>
      </c>
      <c r="AN71" s="149">
        <f t="shared" si="74"/>
        <v>31.599999999999994</v>
      </c>
      <c r="AO71" s="115">
        <f t="shared" si="75"/>
        <v>50.554822471994605</v>
      </c>
      <c r="AP71" s="121"/>
      <c r="AQ71" s="161"/>
      <c r="AR71" s="121"/>
      <c r="AS71" s="162"/>
      <c r="AT71" s="163"/>
    </row>
    <row r="72" spans="1:46" ht="15">
      <c r="A72" s="151" t="s">
        <v>45</v>
      </c>
      <c r="B72" s="152" t="s">
        <v>99</v>
      </c>
      <c r="C72" s="152">
        <v>10</v>
      </c>
      <c r="D72" s="153">
        <v>1</v>
      </c>
      <c r="E72" s="151" t="s">
        <v>48</v>
      </c>
      <c r="F72" s="152"/>
      <c r="G72" s="154">
        <f aca="true" t="shared" si="77" ref="G72:G82">J72/100+593</f>
        <v>593.23</v>
      </c>
      <c r="H72" s="154">
        <f aca="true" t="shared" si="78" ref="H72:H82">K72/100+593</f>
        <v>593.23</v>
      </c>
      <c r="I72" s="109">
        <f t="shared" si="55"/>
        <v>593.23</v>
      </c>
      <c r="J72" s="155">
        <v>23</v>
      </c>
      <c r="K72" s="156">
        <v>23</v>
      </c>
      <c r="L72" s="153">
        <f t="shared" si="56"/>
        <v>23</v>
      </c>
      <c r="M72" s="151">
        <v>270</v>
      </c>
      <c r="N72" s="152">
        <v>5</v>
      </c>
      <c r="O72" s="152"/>
      <c r="P72" s="152"/>
      <c r="Q72" s="152"/>
      <c r="R72" s="153"/>
      <c r="S72" s="157">
        <f t="shared" si="57"/>
        <v>0</v>
      </c>
      <c r="T72" s="158">
        <f t="shared" si="58"/>
        <v>0.08715574274765817</v>
      </c>
      <c r="U72" s="158">
        <f t="shared" si="59"/>
        <v>0.9961946980917455</v>
      </c>
      <c r="V72" s="149">
        <f t="shared" si="60"/>
        <v>90</v>
      </c>
      <c r="W72" s="115">
        <f t="shared" si="61"/>
        <v>85</v>
      </c>
      <c r="X72" s="159">
        <f t="shared" si="62"/>
        <v>270</v>
      </c>
      <c r="Y72" s="149">
        <f t="shared" si="63"/>
        <v>180</v>
      </c>
      <c r="Z72" s="115">
        <f t="shared" si="64"/>
        <v>5</v>
      </c>
      <c r="AA72" s="160">
        <f t="shared" si="65"/>
        <v>90.00000000000001</v>
      </c>
      <c r="AB72" s="119">
        <f t="shared" si="66"/>
        <v>90.00000000000001</v>
      </c>
      <c r="AC72" s="120">
        <f t="shared" si="67"/>
        <v>-3.828317871046316E-16</v>
      </c>
      <c r="AD72" s="120">
        <f t="shared" si="68"/>
        <v>0.9961946980917455</v>
      </c>
      <c r="AE72" s="120">
        <f t="shared" si="69"/>
        <v>0.08715574274765817</v>
      </c>
      <c r="AF72" s="121">
        <f t="shared" si="70"/>
        <v>270</v>
      </c>
      <c r="AG72" s="119">
        <f t="shared" si="71"/>
        <v>4.999999999999999</v>
      </c>
      <c r="AH72" s="122">
        <f t="shared" si="72"/>
        <v>-1.0163857482711982E-20</v>
      </c>
      <c r="AI72" s="151">
        <v>20</v>
      </c>
      <c r="AJ72" s="153">
        <v>48</v>
      </c>
      <c r="AK72" s="151">
        <v>320.2</v>
      </c>
      <c r="AL72" s="152">
        <v>-59.5</v>
      </c>
      <c r="AM72" s="159">
        <f t="shared" si="73"/>
        <v>129.8</v>
      </c>
      <c r="AN72" s="149">
        <f t="shared" si="74"/>
        <v>39.80000000000001</v>
      </c>
      <c r="AO72" s="115">
        <f t="shared" si="75"/>
        <v>5</v>
      </c>
      <c r="AP72" s="121"/>
      <c r="AQ72" s="161"/>
      <c r="AR72" s="121"/>
      <c r="AS72" s="162"/>
      <c r="AT72" s="163"/>
    </row>
    <row r="73" spans="1:46" ht="15">
      <c r="A73" s="151" t="s">
        <v>45</v>
      </c>
      <c r="B73" s="152" t="s">
        <v>99</v>
      </c>
      <c r="C73" s="152">
        <v>10</v>
      </c>
      <c r="D73" s="153">
        <v>1</v>
      </c>
      <c r="E73" s="151" t="s">
        <v>47</v>
      </c>
      <c r="F73" s="152" t="s">
        <v>104</v>
      </c>
      <c r="G73" s="154">
        <f t="shared" si="77"/>
        <v>593.22</v>
      </c>
      <c r="H73" s="154">
        <f t="shared" si="78"/>
        <v>593.29</v>
      </c>
      <c r="I73" s="109">
        <f t="shared" si="55"/>
        <v>593.255</v>
      </c>
      <c r="J73" s="155">
        <v>22</v>
      </c>
      <c r="K73" s="156">
        <v>29</v>
      </c>
      <c r="L73" s="153">
        <f t="shared" si="56"/>
        <v>25.5</v>
      </c>
      <c r="M73" s="151">
        <v>270</v>
      </c>
      <c r="N73" s="152">
        <v>45</v>
      </c>
      <c r="O73" s="152"/>
      <c r="P73" s="152"/>
      <c r="Q73" s="152"/>
      <c r="R73" s="153"/>
      <c r="S73" s="157">
        <f t="shared" si="57"/>
        <v>0</v>
      </c>
      <c r="T73" s="158">
        <f t="shared" si="58"/>
        <v>0.7071067811865475</v>
      </c>
      <c r="U73" s="158">
        <f t="shared" si="59"/>
        <v>0.7071067811865476</v>
      </c>
      <c r="V73" s="149">
        <f t="shared" si="60"/>
        <v>90</v>
      </c>
      <c r="W73" s="115">
        <f t="shared" si="61"/>
        <v>45.00000000000001</v>
      </c>
      <c r="X73" s="159">
        <f t="shared" si="62"/>
        <v>270</v>
      </c>
      <c r="Y73" s="149">
        <f t="shared" si="63"/>
        <v>180</v>
      </c>
      <c r="Z73" s="115">
        <f t="shared" si="64"/>
        <v>44.99999999999999</v>
      </c>
      <c r="AA73" s="160">
        <f t="shared" si="65"/>
        <v>90</v>
      </c>
      <c r="AB73" s="119">
        <f t="shared" si="66"/>
        <v>90</v>
      </c>
      <c r="AC73" s="120">
        <f t="shared" si="67"/>
        <v>6.1257422745431E-17</v>
      </c>
      <c r="AD73" s="120">
        <f t="shared" si="68"/>
        <v>0.7071067811865476</v>
      </c>
      <c r="AE73" s="120">
        <f t="shared" si="69"/>
        <v>0.7071067811865475</v>
      </c>
      <c r="AF73" s="121">
        <f t="shared" si="70"/>
        <v>270</v>
      </c>
      <c r="AG73" s="119">
        <f t="shared" si="71"/>
        <v>45</v>
      </c>
      <c r="AH73" s="122">
        <f t="shared" si="72"/>
        <v>1.319433279208793E-20</v>
      </c>
      <c r="AI73" s="151">
        <v>20</v>
      </c>
      <c r="AJ73" s="153">
        <v>48</v>
      </c>
      <c r="AK73" s="151">
        <v>320.2</v>
      </c>
      <c r="AL73" s="152">
        <v>-59.5</v>
      </c>
      <c r="AM73" s="159">
        <f t="shared" si="73"/>
        <v>129.8</v>
      </c>
      <c r="AN73" s="149">
        <f t="shared" si="74"/>
        <v>39.80000000000001</v>
      </c>
      <c r="AO73" s="115">
        <f t="shared" si="75"/>
        <v>44.99999999999999</v>
      </c>
      <c r="AP73" s="121"/>
      <c r="AQ73" s="161"/>
      <c r="AR73" s="121"/>
      <c r="AS73" s="162"/>
      <c r="AT73" s="163"/>
    </row>
    <row r="74" spans="1:46" ht="15">
      <c r="A74" s="151" t="s">
        <v>45</v>
      </c>
      <c r="B74" s="152" t="s">
        <v>99</v>
      </c>
      <c r="C74" s="152">
        <v>10</v>
      </c>
      <c r="D74" s="153">
        <v>1</v>
      </c>
      <c r="E74" s="151" t="s">
        <v>47</v>
      </c>
      <c r="F74" s="152" t="s">
        <v>104</v>
      </c>
      <c r="G74" s="154">
        <f t="shared" si="77"/>
        <v>593.24</v>
      </c>
      <c r="H74" s="154">
        <f t="shared" si="78"/>
        <v>593.29</v>
      </c>
      <c r="I74" s="109">
        <f t="shared" si="55"/>
        <v>593.265</v>
      </c>
      <c r="J74" s="155">
        <v>24</v>
      </c>
      <c r="K74" s="156">
        <v>29</v>
      </c>
      <c r="L74" s="153">
        <f t="shared" si="56"/>
        <v>26.5</v>
      </c>
      <c r="M74" s="151">
        <v>270</v>
      </c>
      <c r="N74" s="152">
        <v>30</v>
      </c>
      <c r="O74" s="152"/>
      <c r="P74" s="152"/>
      <c r="Q74" s="152"/>
      <c r="R74" s="153"/>
      <c r="S74" s="157">
        <f t="shared" si="57"/>
        <v>0</v>
      </c>
      <c r="T74" s="158">
        <f t="shared" si="58"/>
        <v>0.49999999999999994</v>
      </c>
      <c r="U74" s="158">
        <f t="shared" si="59"/>
        <v>0.8660254037844387</v>
      </c>
      <c r="V74" s="149">
        <f t="shared" si="60"/>
        <v>90</v>
      </c>
      <c r="W74" s="115">
        <f t="shared" si="61"/>
        <v>60.00000000000001</v>
      </c>
      <c r="X74" s="159">
        <f t="shared" si="62"/>
        <v>270</v>
      </c>
      <c r="Y74" s="149">
        <f t="shared" si="63"/>
        <v>180</v>
      </c>
      <c r="Z74" s="115">
        <f t="shared" si="64"/>
        <v>29.999999999999993</v>
      </c>
      <c r="AA74" s="160">
        <f t="shared" si="65"/>
        <v>90</v>
      </c>
      <c r="AB74" s="119">
        <f t="shared" si="66"/>
        <v>90</v>
      </c>
      <c r="AC74" s="120">
        <f t="shared" si="67"/>
        <v>6.1257422745431E-17</v>
      </c>
      <c r="AD74" s="120">
        <f t="shared" si="68"/>
        <v>0.8660254037844387</v>
      </c>
      <c r="AE74" s="120">
        <f t="shared" si="69"/>
        <v>0.49999999999999983</v>
      </c>
      <c r="AF74" s="121">
        <f t="shared" si="70"/>
        <v>270</v>
      </c>
      <c r="AG74" s="119">
        <f t="shared" si="71"/>
        <v>29.999999999999993</v>
      </c>
      <c r="AH74" s="122">
        <f t="shared" si="72"/>
        <v>9.329920609681996E-21</v>
      </c>
      <c r="AI74" s="151">
        <v>20</v>
      </c>
      <c r="AJ74" s="153">
        <v>48</v>
      </c>
      <c r="AK74" s="151">
        <v>320.2</v>
      </c>
      <c r="AL74" s="152">
        <v>-59.5</v>
      </c>
      <c r="AM74" s="159">
        <f t="shared" si="73"/>
        <v>129.8</v>
      </c>
      <c r="AN74" s="149">
        <f t="shared" si="74"/>
        <v>39.80000000000001</v>
      </c>
      <c r="AO74" s="115">
        <f t="shared" si="75"/>
        <v>29.999999999999993</v>
      </c>
      <c r="AP74" s="121"/>
      <c r="AQ74" s="161"/>
      <c r="AR74" s="121"/>
      <c r="AS74" s="162"/>
      <c r="AT74" s="163"/>
    </row>
    <row r="75" spans="1:46" ht="15">
      <c r="A75" s="151" t="s">
        <v>45</v>
      </c>
      <c r="B75" s="152" t="s">
        <v>99</v>
      </c>
      <c r="C75" s="152">
        <v>10</v>
      </c>
      <c r="D75" s="153">
        <v>1</v>
      </c>
      <c r="E75" s="151" t="s">
        <v>47</v>
      </c>
      <c r="F75" s="152" t="s">
        <v>107</v>
      </c>
      <c r="G75" s="154">
        <f t="shared" si="77"/>
        <v>593.27</v>
      </c>
      <c r="H75" s="154">
        <f t="shared" si="78"/>
        <v>593.33</v>
      </c>
      <c r="I75" s="109">
        <f t="shared" si="55"/>
        <v>593.3</v>
      </c>
      <c r="J75" s="155">
        <v>27</v>
      </c>
      <c r="K75" s="156">
        <v>33</v>
      </c>
      <c r="L75" s="153">
        <f t="shared" si="56"/>
        <v>30</v>
      </c>
      <c r="M75" s="151">
        <v>270</v>
      </c>
      <c r="N75" s="152">
        <v>80</v>
      </c>
      <c r="O75" s="152"/>
      <c r="P75" s="152"/>
      <c r="Q75" s="152"/>
      <c r="R75" s="153"/>
      <c r="S75" s="157">
        <f t="shared" si="57"/>
        <v>0</v>
      </c>
      <c r="T75" s="158">
        <f t="shared" si="58"/>
        <v>0.984807753012208</v>
      </c>
      <c r="U75" s="158">
        <f t="shared" si="59"/>
        <v>0.17364817766693041</v>
      </c>
      <c r="V75" s="149">
        <f t="shared" si="60"/>
        <v>90</v>
      </c>
      <c r="W75" s="115">
        <f t="shared" si="61"/>
        <v>10.000000000000005</v>
      </c>
      <c r="X75" s="159">
        <f t="shared" si="62"/>
        <v>270</v>
      </c>
      <c r="Y75" s="149">
        <f t="shared" si="63"/>
        <v>180</v>
      </c>
      <c r="Z75" s="115">
        <f t="shared" si="64"/>
        <v>80</v>
      </c>
      <c r="AA75" s="160">
        <f t="shared" si="65"/>
        <v>90</v>
      </c>
      <c r="AB75" s="119">
        <f t="shared" si="66"/>
        <v>90</v>
      </c>
      <c r="AC75" s="120">
        <f t="shared" si="67"/>
        <v>6.1257422745431E-17</v>
      </c>
      <c r="AD75" s="120">
        <f t="shared" si="68"/>
        <v>0.17364817766693041</v>
      </c>
      <c r="AE75" s="120">
        <f t="shared" si="69"/>
        <v>0.984807753012208</v>
      </c>
      <c r="AF75" s="121">
        <f t="shared" si="70"/>
        <v>270</v>
      </c>
      <c r="AG75" s="119">
        <f t="shared" si="71"/>
        <v>79.99999999999999</v>
      </c>
      <c r="AH75" s="122">
        <f t="shared" si="72"/>
        <v>1.8375684719157187E-20</v>
      </c>
      <c r="AI75" s="151">
        <v>20</v>
      </c>
      <c r="AJ75" s="153">
        <v>48</v>
      </c>
      <c r="AK75" s="151">
        <v>320.2</v>
      </c>
      <c r="AL75" s="152">
        <v>-59.5</v>
      </c>
      <c r="AM75" s="159">
        <f t="shared" si="73"/>
        <v>129.8</v>
      </c>
      <c r="AN75" s="149">
        <f t="shared" si="74"/>
        <v>39.80000000000001</v>
      </c>
      <c r="AO75" s="115">
        <f t="shared" si="75"/>
        <v>80</v>
      </c>
      <c r="AP75" s="121"/>
      <c r="AQ75" s="161"/>
      <c r="AR75" s="121"/>
      <c r="AS75" s="162"/>
      <c r="AT75" s="163"/>
    </row>
    <row r="76" spans="1:46" ht="15">
      <c r="A76" s="151" t="s">
        <v>45</v>
      </c>
      <c r="B76" s="152" t="s">
        <v>99</v>
      </c>
      <c r="C76" s="152">
        <v>10</v>
      </c>
      <c r="D76" s="153">
        <v>1</v>
      </c>
      <c r="E76" s="151" t="s">
        <v>47</v>
      </c>
      <c r="F76" s="152" t="s">
        <v>107</v>
      </c>
      <c r="G76" s="154">
        <f t="shared" si="77"/>
        <v>593.29</v>
      </c>
      <c r="H76" s="154">
        <f t="shared" si="78"/>
        <v>593.33</v>
      </c>
      <c r="I76" s="109">
        <f t="shared" si="55"/>
        <v>593.31</v>
      </c>
      <c r="J76" s="155">
        <v>29</v>
      </c>
      <c r="K76" s="156">
        <v>33</v>
      </c>
      <c r="L76" s="153">
        <f t="shared" si="56"/>
        <v>31</v>
      </c>
      <c r="M76" s="151">
        <v>270</v>
      </c>
      <c r="N76" s="152">
        <v>50</v>
      </c>
      <c r="O76" s="152"/>
      <c r="P76" s="152"/>
      <c r="Q76" s="152"/>
      <c r="R76" s="153"/>
      <c r="S76" s="157">
        <f t="shared" si="57"/>
        <v>0</v>
      </c>
      <c r="T76" s="158">
        <f t="shared" si="58"/>
        <v>0.766044443118978</v>
      </c>
      <c r="U76" s="158">
        <f t="shared" si="59"/>
        <v>0.6427876096865394</v>
      </c>
      <c r="V76" s="149">
        <f t="shared" si="60"/>
        <v>90</v>
      </c>
      <c r="W76" s="115">
        <f t="shared" si="61"/>
        <v>40.000000000000014</v>
      </c>
      <c r="X76" s="159">
        <f t="shared" si="62"/>
        <v>270</v>
      </c>
      <c r="Y76" s="149">
        <f t="shared" si="63"/>
        <v>180</v>
      </c>
      <c r="Z76" s="115">
        <f t="shared" si="64"/>
        <v>49.999999999999986</v>
      </c>
      <c r="AA76" s="160">
        <f t="shared" si="65"/>
        <v>90</v>
      </c>
      <c r="AB76" s="119">
        <f t="shared" si="66"/>
        <v>90</v>
      </c>
      <c r="AC76" s="120">
        <f t="shared" si="67"/>
        <v>6.1257422745431E-17</v>
      </c>
      <c r="AD76" s="120">
        <f t="shared" si="68"/>
        <v>0.6427876096865396</v>
      </c>
      <c r="AE76" s="120">
        <f t="shared" si="69"/>
        <v>0.7660444431189778</v>
      </c>
      <c r="AF76" s="121">
        <f t="shared" si="70"/>
        <v>270</v>
      </c>
      <c r="AG76" s="119">
        <f t="shared" si="71"/>
        <v>49.99999999999997</v>
      </c>
      <c r="AH76" s="122">
        <f t="shared" si="72"/>
        <v>1.4294023237692103E-20</v>
      </c>
      <c r="AI76" s="151">
        <v>20</v>
      </c>
      <c r="AJ76" s="153">
        <v>48</v>
      </c>
      <c r="AK76" s="151">
        <v>320.2</v>
      </c>
      <c r="AL76" s="152">
        <v>-59.5</v>
      </c>
      <c r="AM76" s="159">
        <f t="shared" si="73"/>
        <v>129.8</v>
      </c>
      <c r="AN76" s="149">
        <f t="shared" si="74"/>
        <v>39.80000000000001</v>
      </c>
      <c r="AO76" s="115">
        <f t="shared" si="75"/>
        <v>49.999999999999986</v>
      </c>
      <c r="AP76" s="121"/>
      <c r="AQ76" s="161"/>
      <c r="AR76" s="121"/>
      <c r="AS76" s="162"/>
      <c r="AT76" s="163"/>
    </row>
    <row r="77" spans="1:46" ht="15">
      <c r="A77" s="151" t="s">
        <v>45</v>
      </c>
      <c r="B77" s="152" t="s">
        <v>99</v>
      </c>
      <c r="C77" s="152">
        <v>10</v>
      </c>
      <c r="D77" s="153">
        <v>1</v>
      </c>
      <c r="E77" s="151" t="s">
        <v>47</v>
      </c>
      <c r="F77" s="152" t="s">
        <v>107</v>
      </c>
      <c r="G77" s="154">
        <f t="shared" si="77"/>
        <v>593.32</v>
      </c>
      <c r="H77" s="154">
        <f t="shared" si="78"/>
        <v>593.36</v>
      </c>
      <c r="I77" s="109">
        <f t="shared" si="55"/>
        <v>593.34</v>
      </c>
      <c r="J77" s="155">
        <v>32</v>
      </c>
      <c r="K77" s="156">
        <v>36</v>
      </c>
      <c r="L77" s="153">
        <f t="shared" si="56"/>
        <v>34</v>
      </c>
      <c r="M77" s="151">
        <v>90</v>
      </c>
      <c r="N77" s="152">
        <v>75</v>
      </c>
      <c r="O77" s="152"/>
      <c r="P77" s="152"/>
      <c r="Q77" s="152"/>
      <c r="R77" s="153"/>
      <c r="S77" s="157">
        <f t="shared" si="57"/>
        <v>0</v>
      </c>
      <c r="T77" s="158">
        <f t="shared" si="58"/>
        <v>0.9659258262890683</v>
      </c>
      <c r="U77" s="158">
        <f t="shared" si="59"/>
        <v>-0.25881904510252074</v>
      </c>
      <c r="V77" s="149">
        <f t="shared" si="60"/>
        <v>90</v>
      </c>
      <c r="W77" s="115">
        <f t="shared" si="61"/>
        <v>-14.999999999999998</v>
      </c>
      <c r="X77" s="159">
        <f t="shared" si="62"/>
        <v>90</v>
      </c>
      <c r="Y77" s="149">
        <f t="shared" si="63"/>
        <v>0</v>
      </c>
      <c r="Z77" s="115">
        <f t="shared" si="64"/>
        <v>75</v>
      </c>
      <c r="AA77" s="160">
        <f t="shared" si="65"/>
        <v>90</v>
      </c>
      <c r="AB77" s="119">
        <f t="shared" si="66"/>
        <v>90</v>
      </c>
      <c r="AC77" s="120">
        <f t="shared" si="67"/>
        <v>6.1257422745431E-17</v>
      </c>
      <c r="AD77" s="120">
        <f t="shared" si="68"/>
        <v>0.25881904510252074</v>
      </c>
      <c r="AE77" s="120">
        <f t="shared" si="69"/>
        <v>0.9659258262890683</v>
      </c>
      <c r="AF77" s="121">
        <f t="shared" si="70"/>
        <v>89.99999999999999</v>
      </c>
      <c r="AG77" s="119">
        <f t="shared" si="71"/>
        <v>75.00000000000001</v>
      </c>
      <c r="AH77" s="122">
        <f t="shared" si="72"/>
        <v>1.8023397545852757E-20</v>
      </c>
      <c r="AI77" s="151">
        <v>20</v>
      </c>
      <c r="AJ77" s="153">
        <v>48</v>
      </c>
      <c r="AK77" s="151">
        <v>320.2</v>
      </c>
      <c r="AL77" s="152">
        <v>-59.5</v>
      </c>
      <c r="AM77" s="159">
        <f t="shared" si="73"/>
        <v>309.8</v>
      </c>
      <c r="AN77" s="149">
        <f t="shared" si="74"/>
        <v>219.8</v>
      </c>
      <c r="AO77" s="115">
        <f t="shared" si="75"/>
        <v>75</v>
      </c>
      <c r="AP77" s="121"/>
      <c r="AQ77" s="161"/>
      <c r="AR77" s="121"/>
      <c r="AS77" s="162"/>
      <c r="AT77" s="163"/>
    </row>
    <row r="78" spans="1:46" ht="15">
      <c r="A78" s="151" t="s">
        <v>45</v>
      </c>
      <c r="B78" s="152" t="s">
        <v>99</v>
      </c>
      <c r="C78" s="152">
        <v>10</v>
      </c>
      <c r="D78" s="153">
        <v>1</v>
      </c>
      <c r="E78" s="151" t="s">
        <v>47</v>
      </c>
      <c r="F78" s="152" t="s">
        <v>107</v>
      </c>
      <c r="G78" s="154">
        <f t="shared" si="77"/>
        <v>593.34</v>
      </c>
      <c r="H78" s="154">
        <f t="shared" si="78"/>
        <v>593.37</v>
      </c>
      <c r="I78" s="109">
        <f t="shared" si="55"/>
        <v>593.355</v>
      </c>
      <c r="J78" s="155">
        <v>34</v>
      </c>
      <c r="K78" s="156">
        <v>37</v>
      </c>
      <c r="L78" s="153">
        <f t="shared" si="56"/>
        <v>35.5</v>
      </c>
      <c r="M78" s="151">
        <v>90</v>
      </c>
      <c r="N78" s="152">
        <v>80</v>
      </c>
      <c r="O78" s="152"/>
      <c r="P78" s="152"/>
      <c r="Q78" s="152"/>
      <c r="R78" s="153"/>
      <c r="S78" s="157">
        <f t="shared" si="57"/>
        <v>0</v>
      </c>
      <c r="T78" s="158">
        <f t="shared" si="58"/>
        <v>0.984807753012208</v>
      </c>
      <c r="U78" s="158">
        <f t="shared" si="59"/>
        <v>-0.17364817766693041</v>
      </c>
      <c r="V78" s="149">
        <f t="shared" si="60"/>
        <v>90</v>
      </c>
      <c r="W78" s="115">
        <f t="shared" si="61"/>
        <v>-10.000000000000005</v>
      </c>
      <c r="X78" s="159">
        <f t="shared" si="62"/>
        <v>90</v>
      </c>
      <c r="Y78" s="149">
        <f t="shared" si="63"/>
        <v>0</v>
      </c>
      <c r="Z78" s="115">
        <f t="shared" si="64"/>
        <v>80</v>
      </c>
      <c r="AA78" s="160">
        <f t="shared" si="65"/>
        <v>90</v>
      </c>
      <c r="AB78" s="119">
        <f t="shared" si="66"/>
        <v>90</v>
      </c>
      <c r="AC78" s="120">
        <f t="shared" si="67"/>
        <v>6.1257422745431E-17</v>
      </c>
      <c r="AD78" s="120">
        <f t="shared" si="68"/>
        <v>0.17364817766693041</v>
      </c>
      <c r="AE78" s="120">
        <f t="shared" si="69"/>
        <v>0.984807753012208</v>
      </c>
      <c r="AF78" s="121">
        <f t="shared" si="70"/>
        <v>89.99999999999999</v>
      </c>
      <c r="AG78" s="119">
        <f t="shared" si="71"/>
        <v>79.99999999999999</v>
      </c>
      <c r="AH78" s="122">
        <f t="shared" si="72"/>
        <v>1.8375684719157187E-20</v>
      </c>
      <c r="AI78" s="151">
        <v>20</v>
      </c>
      <c r="AJ78" s="153">
        <v>48</v>
      </c>
      <c r="AK78" s="151">
        <v>320.2</v>
      </c>
      <c r="AL78" s="152">
        <v>-59.5</v>
      </c>
      <c r="AM78" s="159">
        <f t="shared" si="73"/>
        <v>309.8</v>
      </c>
      <c r="AN78" s="149">
        <f t="shared" si="74"/>
        <v>219.8</v>
      </c>
      <c r="AO78" s="115">
        <f t="shared" si="75"/>
        <v>80</v>
      </c>
      <c r="AP78" s="121"/>
      <c r="AQ78" s="161"/>
      <c r="AR78" s="121"/>
      <c r="AS78" s="162"/>
      <c r="AT78" s="163"/>
    </row>
    <row r="79" spans="1:46" ht="15">
      <c r="A79" s="151" t="s">
        <v>45</v>
      </c>
      <c r="B79" s="152" t="s">
        <v>99</v>
      </c>
      <c r="C79" s="152">
        <v>10</v>
      </c>
      <c r="D79" s="153">
        <v>1</v>
      </c>
      <c r="E79" s="151" t="s">
        <v>48</v>
      </c>
      <c r="F79" s="152"/>
      <c r="G79" s="154">
        <f t="shared" si="77"/>
        <v>593.38</v>
      </c>
      <c r="H79" s="154">
        <f t="shared" si="78"/>
        <v>593.38</v>
      </c>
      <c r="I79" s="109">
        <f t="shared" si="55"/>
        <v>593.38</v>
      </c>
      <c r="J79" s="155">
        <v>38</v>
      </c>
      <c r="K79" s="156">
        <v>38</v>
      </c>
      <c r="L79" s="153">
        <f t="shared" si="56"/>
        <v>38</v>
      </c>
      <c r="M79" s="151">
        <v>270</v>
      </c>
      <c r="N79" s="152">
        <v>14</v>
      </c>
      <c r="O79" s="152"/>
      <c r="P79" s="152"/>
      <c r="Q79" s="152"/>
      <c r="R79" s="153"/>
      <c r="S79" s="157">
        <f t="shared" si="57"/>
        <v>0</v>
      </c>
      <c r="T79" s="158">
        <f t="shared" si="58"/>
        <v>0.24192189559966773</v>
      </c>
      <c r="U79" s="158">
        <f t="shared" si="59"/>
        <v>0.9702957262759965</v>
      </c>
      <c r="V79" s="149">
        <f t="shared" si="60"/>
        <v>90</v>
      </c>
      <c r="W79" s="115">
        <f t="shared" si="61"/>
        <v>76</v>
      </c>
      <c r="X79" s="159">
        <f t="shared" si="62"/>
        <v>270</v>
      </c>
      <c r="Y79" s="149">
        <f t="shared" si="63"/>
        <v>180</v>
      </c>
      <c r="Z79" s="115">
        <f t="shared" si="64"/>
        <v>14</v>
      </c>
      <c r="AA79" s="160">
        <f t="shared" si="65"/>
        <v>90.00000000000001</v>
      </c>
      <c r="AB79" s="119">
        <f t="shared" si="66"/>
        <v>90.00000000000001</v>
      </c>
      <c r="AC79" s="120">
        <f t="shared" si="67"/>
        <v>-3.828317871046316E-16</v>
      </c>
      <c r="AD79" s="120">
        <f t="shared" si="68"/>
        <v>0.9702957262759965</v>
      </c>
      <c r="AE79" s="120">
        <f t="shared" si="69"/>
        <v>0.24192189559966773</v>
      </c>
      <c r="AF79" s="121">
        <f t="shared" si="70"/>
        <v>270</v>
      </c>
      <c r="AG79" s="119">
        <f t="shared" si="71"/>
        <v>14</v>
      </c>
      <c r="AH79" s="122">
        <f t="shared" si="72"/>
        <v>-2.821217780309024E-20</v>
      </c>
      <c r="AI79" s="151">
        <v>20</v>
      </c>
      <c r="AJ79" s="153">
        <v>48</v>
      </c>
      <c r="AK79" s="151">
        <v>320.2</v>
      </c>
      <c r="AL79" s="152">
        <v>-59.5</v>
      </c>
      <c r="AM79" s="159">
        <f t="shared" si="73"/>
        <v>129.8</v>
      </c>
      <c r="AN79" s="149">
        <f t="shared" si="74"/>
        <v>39.80000000000001</v>
      </c>
      <c r="AO79" s="115">
        <f t="shared" si="75"/>
        <v>14</v>
      </c>
      <c r="AP79" s="121"/>
      <c r="AQ79" s="161"/>
      <c r="AR79" s="121"/>
      <c r="AS79" s="162"/>
      <c r="AT79" s="163"/>
    </row>
    <row r="80" spans="1:46" ht="15">
      <c r="A80" s="151" t="s">
        <v>45</v>
      </c>
      <c r="B80" s="152" t="s">
        <v>99</v>
      </c>
      <c r="C80" s="152">
        <v>10</v>
      </c>
      <c r="D80" s="153">
        <v>1</v>
      </c>
      <c r="E80" s="151" t="s">
        <v>112</v>
      </c>
      <c r="F80" s="152"/>
      <c r="G80" s="154">
        <f t="shared" si="77"/>
        <v>593.54</v>
      </c>
      <c r="H80" s="154">
        <f t="shared" si="78"/>
        <v>593.54</v>
      </c>
      <c r="I80" s="109">
        <f t="shared" si="55"/>
        <v>593.54</v>
      </c>
      <c r="J80" s="155">
        <v>54</v>
      </c>
      <c r="K80" s="156">
        <v>54</v>
      </c>
      <c r="L80" s="153">
        <f t="shared" si="56"/>
        <v>54</v>
      </c>
      <c r="M80" s="151">
        <v>180</v>
      </c>
      <c r="N80" s="152">
        <v>28</v>
      </c>
      <c r="O80" s="152">
        <v>90</v>
      </c>
      <c r="P80" s="152">
        <v>19</v>
      </c>
      <c r="Q80" s="152"/>
      <c r="R80" s="153"/>
      <c r="S80" s="157">
        <f t="shared" si="57"/>
        <v>-0.44389408332970065</v>
      </c>
      <c r="T80" s="158">
        <f t="shared" si="58"/>
        <v>0.2874596182894698</v>
      </c>
      <c r="U80" s="158">
        <f t="shared" si="59"/>
        <v>-0.8348433503288182</v>
      </c>
      <c r="V80" s="149">
        <f t="shared" si="60"/>
        <v>147.07346914108498</v>
      </c>
      <c r="W80" s="115">
        <f t="shared" si="61"/>
        <v>-57.64722036720354</v>
      </c>
      <c r="X80" s="159">
        <f t="shared" si="62"/>
        <v>147.07346914108498</v>
      </c>
      <c r="Y80" s="149">
        <f t="shared" si="63"/>
        <v>57.073469141084985</v>
      </c>
      <c r="Z80" s="115">
        <f t="shared" si="64"/>
        <v>32.35277963279646</v>
      </c>
      <c r="AA80" s="160">
        <f t="shared" si="65"/>
        <v>37.473173789098496</v>
      </c>
      <c r="AB80" s="119">
        <f t="shared" si="66"/>
        <v>37.473173789098496</v>
      </c>
      <c r="AC80" s="120">
        <f t="shared" si="67"/>
        <v>0.7936382788974133</v>
      </c>
      <c r="AD80" s="120">
        <f t="shared" si="68"/>
        <v>0.5139490821784903</v>
      </c>
      <c r="AE80" s="120">
        <f t="shared" si="69"/>
        <v>0.32556815445715653</v>
      </c>
      <c r="AF80" s="121">
        <f t="shared" si="70"/>
        <v>89.99999999999997</v>
      </c>
      <c r="AG80" s="119">
        <f t="shared" si="71"/>
        <v>18.999999999999993</v>
      </c>
      <c r="AH80" s="122">
        <f t="shared" si="72"/>
        <v>7.870512889688142E-05</v>
      </c>
      <c r="AI80" s="151">
        <v>48</v>
      </c>
      <c r="AJ80" s="153">
        <v>66</v>
      </c>
      <c r="AK80" s="248">
        <v>38</v>
      </c>
      <c r="AL80" s="249">
        <v>55.9</v>
      </c>
      <c r="AM80" s="250">
        <f t="shared" si="73"/>
        <v>109.07346914108498</v>
      </c>
      <c r="AN80" s="251">
        <f t="shared" si="74"/>
        <v>19.073469141084985</v>
      </c>
      <c r="AO80" s="252">
        <f t="shared" si="75"/>
        <v>32.35277963279646</v>
      </c>
      <c r="AP80" s="121"/>
      <c r="AQ80" s="161"/>
      <c r="AR80" s="121"/>
      <c r="AS80" s="162"/>
      <c r="AT80" s="163"/>
    </row>
    <row r="81" spans="1:46" ht="15">
      <c r="A81" s="151" t="s">
        <v>45</v>
      </c>
      <c r="B81" s="152" t="s">
        <v>99</v>
      </c>
      <c r="C81" s="152">
        <v>10</v>
      </c>
      <c r="D81" s="153">
        <v>1</v>
      </c>
      <c r="E81" s="151" t="s">
        <v>112</v>
      </c>
      <c r="F81" s="152"/>
      <c r="G81" s="154">
        <f t="shared" si="77"/>
        <v>593.56</v>
      </c>
      <c r="H81" s="154">
        <f t="shared" si="78"/>
        <v>593.56</v>
      </c>
      <c r="I81" s="109">
        <f t="shared" si="55"/>
        <v>593.56</v>
      </c>
      <c r="J81" s="155">
        <v>56</v>
      </c>
      <c r="K81" s="156">
        <v>56</v>
      </c>
      <c r="L81" s="153">
        <f t="shared" si="56"/>
        <v>56</v>
      </c>
      <c r="M81" s="151">
        <v>0</v>
      </c>
      <c r="N81" s="152">
        <v>8</v>
      </c>
      <c r="O81" s="152">
        <v>270</v>
      </c>
      <c r="P81" s="152">
        <v>11</v>
      </c>
      <c r="Q81" s="152"/>
      <c r="R81" s="153"/>
      <c r="S81" s="157">
        <f t="shared" si="57"/>
        <v>0.13661609910710643</v>
      </c>
      <c r="T81" s="158">
        <f t="shared" si="58"/>
        <v>-0.18895205535005027</v>
      </c>
      <c r="U81" s="158">
        <f t="shared" si="59"/>
        <v>-0.9720740551769455</v>
      </c>
      <c r="V81" s="149">
        <f t="shared" si="60"/>
        <v>305.86767859303495</v>
      </c>
      <c r="W81" s="115">
        <f t="shared" si="61"/>
        <v>-76.51155659927379</v>
      </c>
      <c r="X81" s="159">
        <f t="shared" si="62"/>
        <v>305.86767859303495</v>
      </c>
      <c r="Y81" s="149">
        <f t="shared" si="63"/>
        <v>215.86767859303495</v>
      </c>
      <c r="Z81" s="115">
        <f t="shared" si="64"/>
        <v>13.488443400726212</v>
      </c>
      <c r="AA81" s="160">
        <f t="shared" si="65"/>
        <v>54.8898350533717</v>
      </c>
      <c r="AB81" s="119">
        <f t="shared" si="66"/>
        <v>54.8898350533717</v>
      </c>
      <c r="AC81" s="120">
        <f t="shared" si="67"/>
        <v>0.5751503923967525</v>
      </c>
      <c r="AD81" s="120">
        <f t="shared" si="68"/>
        <v>0.795483471487155</v>
      </c>
      <c r="AE81" s="120">
        <f t="shared" si="69"/>
        <v>0.19080899537654486</v>
      </c>
      <c r="AF81" s="121">
        <f t="shared" si="70"/>
        <v>270</v>
      </c>
      <c r="AG81" s="119">
        <f t="shared" si="71"/>
        <v>11.000000000000004</v>
      </c>
      <c r="AH81" s="122">
        <f t="shared" si="72"/>
        <v>3.3429270853230674E-05</v>
      </c>
      <c r="AI81" s="151">
        <v>48</v>
      </c>
      <c r="AJ81" s="153">
        <v>66</v>
      </c>
      <c r="AK81" s="248">
        <v>38</v>
      </c>
      <c r="AL81" s="249">
        <v>55.9</v>
      </c>
      <c r="AM81" s="250">
        <f t="shared" si="73"/>
        <v>267.86767859303495</v>
      </c>
      <c r="AN81" s="251">
        <f t="shared" si="74"/>
        <v>177.86767859303495</v>
      </c>
      <c r="AO81" s="252">
        <f t="shared" si="75"/>
        <v>13.488443400726212</v>
      </c>
      <c r="AP81" s="121"/>
      <c r="AQ81" s="161"/>
      <c r="AR81" s="121"/>
      <c r="AS81" s="162"/>
      <c r="AT81" s="163"/>
    </row>
    <row r="82" spans="1:46" ht="15">
      <c r="A82" s="151" t="s">
        <v>45</v>
      </c>
      <c r="B82" s="152" t="s">
        <v>99</v>
      </c>
      <c r="C82" s="152">
        <v>10</v>
      </c>
      <c r="D82" s="153">
        <v>1</v>
      </c>
      <c r="E82" s="151" t="s">
        <v>112</v>
      </c>
      <c r="F82" s="152"/>
      <c r="G82" s="154">
        <f t="shared" si="77"/>
        <v>593.61</v>
      </c>
      <c r="H82" s="154">
        <f t="shared" si="78"/>
        <v>593.61</v>
      </c>
      <c r="I82" s="109">
        <f t="shared" si="55"/>
        <v>593.61</v>
      </c>
      <c r="J82" s="155">
        <v>61</v>
      </c>
      <c r="K82" s="156">
        <v>61</v>
      </c>
      <c r="L82" s="153">
        <f t="shared" si="56"/>
        <v>61</v>
      </c>
      <c r="M82" s="151">
        <v>180</v>
      </c>
      <c r="N82" s="152">
        <v>40</v>
      </c>
      <c r="O82" s="152">
        <v>90</v>
      </c>
      <c r="P82" s="152">
        <v>23</v>
      </c>
      <c r="Q82" s="152"/>
      <c r="R82" s="153"/>
      <c r="S82" s="157">
        <f t="shared" si="57"/>
        <v>-0.5916891144555523</v>
      </c>
      <c r="T82" s="158">
        <f t="shared" si="58"/>
        <v>0.29931740973281556</v>
      </c>
      <c r="U82" s="158">
        <f t="shared" si="59"/>
        <v>-0.7051476278512911</v>
      </c>
      <c r="V82" s="149">
        <f t="shared" si="60"/>
        <v>153.1665480389318</v>
      </c>
      <c r="W82" s="115">
        <f t="shared" si="61"/>
        <v>-46.76068070537061</v>
      </c>
      <c r="X82" s="159">
        <f t="shared" si="62"/>
        <v>153.1665480389318</v>
      </c>
      <c r="Y82" s="149">
        <f t="shared" si="63"/>
        <v>63.16654803893181</v>
      </c>
      <c r="Z82" s="115">
        <f t="shared" si="64"/>
        <v>43.23931929462939</v>
      </c>
      <c r="AA82" s="160">
        <f t="shared" si="65"/>
        <v>34.77610807856689</v>
      </c>
      <c r="AB82" s="119">
        <f t="shared" si="66"/>
        <v>34.77610807856689</v>
      </c>
      <c r="AC82" s="120">
        <f t="shared" si="67"/>
        <v>0.8213871211227857</v>
      </c>
      <c r="AD82" s="120">
        <f t="shared" si="68"/>
        <v>0.4155145996028549</v>
      </c>
      <c r="AE82" s="120">
        <f t="shared" si="69"/>
        <v>0.3907311284892737</v>
      </c>
      <c r="AF82" s="121">
        <f t="shared" si="70"/>
        <v>89.99999999999999</v>
      </c>
      <c r="AG82" s="119">
        <f t="shared" si="71"/>
        <v>23</v>
      </c>
      <c r="AH82" s="122">
        <f t="shared" si="72"/>
        <v>9.776027029789375E-05</v>
      </c>
      <c r="AI82" s="151">
        <v>48</v>
      </c>
      <c r="AJ82" s="153">
        <v>66</v>
      </c>
      <c r="AK82" s="248">
        <v>38</v>
      </c>
      <c r="AL82" s="249">
        <v>55.9</v>
      </c>
      <c r="AM82" s="250">
        <f t="shared" si="73"/>
        <v>115.16654803893181</v>
      </c>
      <c r="AN82" s="251">
        <f t="shared" si="74"/>
        <v>25.166548038931808</v>
      </c>
      <c r="AO82" s="252">
        <f t="shared" si="75"/>
        <v>43.23931929462939</v>
      </c>
      <c r="AP82" s="121"/>
      <c r="AQ82" s="161"/>
      <c r="AR82" s="121"/>
      <c r="AS82" s="162"/>
      <c r="AT82" s="163"/>
    </row>
    <row r="83" spans="1:46" ht="15">
      <c r="A83" s="151" t="s">
        <v>45</v>
      </c>
      <c r="B83" s="152" t="s">
        <v>99</v>
      </c>
      <c r="C83" s="152">
        <v>11</v>
      </c>
      <c r="D83" s="153">
        <v>4</v>
      </c>
      <c r="E83" s="151" t="s">
        <v>98</v>
      </c>
      <c r="F83" s="152"/>
      <c r="G83" s="154">
        <f aca="true" t="shared" si="79" ref="G83:H88">J83/100+605.555</f>
        <v>605.555</v>
      </c>
      <c r="H83" s="154">
        <f t="shared" si="79"/>
        <v>605.5749999999999</v>
      </c>
      <c r="I83" s="109">
        <f t="shared" si="55"/>
        <v>605.5649999999999</v>
      </c>
      <c r="J83" s="155">
        <v>0</v>
      </c>
      <c r="K83" s="156">
        <v>2</v>
      </c>
      <c r="L83" s="153">
        <f t="shared" si="56"/>
        <v>1</v>
      </c>
      <c r="M83" s="151">
        <v>270</v>
      </c>
      <c r="N83" s="152">
        <v>73</v>
      </c>
      <c r="O83" s="152">
        <v>30</v>
      </c>
      <c r="P83" s="152">
        <v>0</v>
      </c>
      <c r="Q83" s="152"/>
      <c r="R83" s="153"/>
      <c r="S83" s="157">
        <f t="shared" si="57"/>
        <v>-0.47815237798151766</v>
      </c>
      <c r="T83" s="158">
        <f t="shared" si="58"/>
        <v>0.8281842124238669</v>
      </c>
      <c r="U83" s="158">
        <f t="shared" si="59"/>
        <v>0.2532013236376528</v>
      </c>
      <c r="V83" s="149">
        <f t="shared" si="60"/>
        <v>120</v>
      </c>
      <c r="W83" s="115">
        <f t="shared" si="61"/>
        <v>14.829941775525114</v>
      </c>
      <c r="X83" s="159">
        <f t="shared" si="62"/>
        <v>300</v>
      </c>
      <c r="Y83" s="149">
        <f t="shared" si="63"/>
        <v>210</v>
      </c>
      <c r="Z83" s="115">
        <f t="shared" si="64"/>
        <v>75.17005822447489</v>
      </c>
      <c r="AA83" s="160">
        <f t="shared" si="65"/>
        <v>81.59404469857276</v>
      </c>
      <c r="AB83" s="119">
        <f t="shared" si="66"/>
        <v>81.59404469857276</v>
      </c>
      <c r="AC83" s="120">
        <f t="shared" si="67"/>
        <v>0.14618585236136844</v>
      </c>
      <c r="AD83" s="120">
        <f t="shared" si="68"/>
        <v>0.25320132363765296</v>
      </c>
      <c r="AE83" s="120">
        <f t="shared" si="69"/>
        <v>0.9563047559630354</v>
      </c>
      <c r="AF83" s="121">
        <f t="shared" si="70"/>
        <v>270</v>
      </c>
      <c r="AG83" s="119">
        <f t="shared" si="71"/>
        <v>72.99999999999999</v>
      </c>
      <c r="AH83" s="122">
        <f t="shared" si="72"/>
        <v>4.258295147253976E-05</v>
      </c>
      <c r="AI83" s="151">
        <v>0</v>
      </c>
      <c r="AJ83" s="153">
        <v>6</v>
      </c>
      <c r="AK83" s="151">
        <v>254.4</v>
      </c>
      <c r="AL83" s="152">
        <v>71.5</v>
      </c>
      <c r="AM83" s="159">
        <f t="shared" si="73"/>
        <v>45.599999999999994</v>
      </c>
      <c r="AN83" s="149">
        <f t="shared" si="74"/>
        <v>315.6</v>
      </c>
      <c r="AO83" s="115">
        <f t="shared" si="75"/>
        <v>75.17005822447489</v>
      </c>
      <c r="AP83" s="121"/>
      <c r="AQ83" s="161"/>
      <c r="AR83" s="121"/>
      <c r="AS83" s="162"/>
      <c r="AT83" s="163"/>
    </row>
    <row r="84" spans="1:46" ht="15">
      <c r="A84" s="151" t="s">
        <v>45</v>
      </c>
      <c r="B84" s="152" t="s">
        <v>99</v>
      </c>
      <c r="C84" s="152">
        <v>11</v>
      </c>
      <c r="D84" s="153">
        <v>4</v>
      </c>
      <c r="E84" s="151" t="s">
        <v>98</v>
      </c>
      <c r="F84" s="152"/>
      <c r="G84" s="154">
        <f t="shared" si="79"/>
        <v>605.555</v>
      </c>
      <c r="H84" s="154">
        <f t="shared" si="79"/>
        <v>605.5749999999999</v>
      </c>
      <c r="I84" s="109">
        <f t="shared" si="55"/>
        <v>605.5649999999999</v>
      </c>
      <c r="J84" s="155">
        <v>0</v>
      </c>
      <c r="K84" s="156">
        <v>2</v>
      </c>
      <c r="L84" s="153">
        <f t="shared" si="56"/>
        <v>1</v>
      </c>
      <c r="M84" s="151">
        <v>270</v>
      </c>
      <c r="N84" s="152">
        <v>73</v>
      </c>
      <c r="O84" s="152">
        <v>320</v>
      </c>
      <c r="P84" s="152">
        <v>0</v>
      </c>
      <c r="Q84" s="152"/>
      <c r="R84" s="153"/>
      <c r="S84" s="157">
        <f t="shared" si="57"/>
        <v>0.6147008482173492</v>
      </c>
      <c r="T84" s="158">
        <f t="shared" si="58"/>
        <v>0.7325719442337334</v>
      </c>
      <c r="U84" s="158">
        <f t="shared" si="59"/>
        <v>0.2239697197280751</v>
      </c>
      <c r="V84" s="149">
        <f t="shared" si="60"/>
        <v>49.99999999999997</v>
      </c>
      <c r="W84" s="115">
        <f t="shared" si="61"/>
        <v>13.181284368389568</v>
      </c>
      <c r="X84" s="159">
        <f t="shared" si="62"/>
        <v>229.99999999999997</v>
      </c>
      <c r="Y84" s="149">
        <f t="shared" si="63"/>
        <v>139.99999999999997</v>
      </c>
      <c r="Z84" s="115">
        <f t="shared" si="64"/>
        <v>76.81871563161043</v>
      </c>
      <c r="AA84" s="160">
        <f t="shared" si="65"/>
        <v>100.83217565839206</v>
      </c>
      <c r="AB84" s="119">
        <f t="shared" si="66"/>
        <v>100.83217565839206</v>
      </c>
      <c r="AC84" s="120">
        <f t="shared" si="67"/>
        <v>-0.18793290921870665</v>
      </c>
      <c r="AD84" s="120">
        <f t="shared" si="68"/>
        <v>0.22396971972807506</v>
      </c>
      <c r="AE84" s="120">
        <f t="shared" si="69"/>
        <v>0.9563047559630354</v>
      </c>
      <c r="AF84" s="121">
        <f t="shared" si="70"/>
        <v>270</v>
      </c>
      <c r="AG84" s="119">
        <f t="shared" si="71"/>
        <v>72.99999999999999</v>
      </c>
      <c r="AH84" s="122">
        <f t="shared" si="72"/>
        <v>-5.474354841374158E-05</v>
      </c>
      <c r="AI84" s="151">
        <v>0</v>
      </c>
      <c r="AJ84" s="153">
        <v>6</v>
      </c>
      <c r="AK84" s="151">
        <v>254.4</v>
      </c>
      <c r="AL84" s="152">
        <v>71.5</v>
      </c>
      <c r="AM84" s="159">
        <f t="shared" si="73"/>
        <v>335.59999999999997</v>
      </c>
      <c r="AN84" s="149">
        <f t="shared" si="74"/>
        <v>245.59999999999997</v>
      </c>
      <c r="AO84" s="115">
        <f t="shared" si="75"/>
        <v>76.81871563161043</v>
      </c>
      <c r="AP84" s="121"/>
      <c r="AQ84" s="161"/>
      <c r="AR84" s="121"/>
      <c r="AS84" s="162"/>
      <c r="AT84" s="163"/>
    </row>
    <row r="85" spans="1:46" ht="15">
      <c r="A85" s="151" t="s">
        <v>45</v>
      </c>
      <c r="B85" s="152" t="s">
        <v>99</v>
      </c>
      <c r="C85" s="152">
        <v>11</v>
      </c>
      <c r="D85" s="153">
        <v>4</v>
      </c>
      <c r="E85" s="151" t="s">
        <v>98</v>
      </c>
      <c r="F85" s="152"/>
      <c r="G85" s="154">
        <f t="shared" si="79"/>
        <v>605.5899999999999</v>
      </c>
      <c r="H85" s="154">
        <f t="shared" si="79"/>
        <v>605.6149999999999</v>
      </c>
      <c r="I85" s="109">
        <f t="shared" si="55"/>
        <v>605.6025</v>
      </c>
      <c r="J85" s="155">
        <v>3.5</v>
      </c>
      <c r="K85" s="156">
        <v>6</v>
      </c>
      <c r="L85" s="153">
        <f t="shared" si="56"/>
        <v>4.75</v>
      </c>
      <c r="M85" s="151"/>
      <c r="N85" s="152"/>
      <c r="O85" s="152"/>
      <c r="P85" s="152"/>
      <c r="Q85" s="152"/>
      <c r="R85" s="153"/>
      <c r="S85" s="157"/>
      <c r="T85" s="158"/>
      <c r="U85" s="158"/>
      <c r="V85" s="149"/>
      <c r="W85" s="115"/>
      <c r="X85" s="159"/>
      <c r="Y85" s="149"/>
      <c r="Z85" s="115"/>
      <c r="AA85" s="160"/>
      <c r="AB85" s="119"/>
      <c r="AC85" s="120"/>
      <c r="AD85" s="120"/>
      <c r="AE85" s="120"/>
      <c r="AF85" s="121"/>
      <c r="AG85" s="119"/>
      <c r="AH85" s="122"/>
      <c r="AI85" s="151">
        <v>0</v>
      </c>
      <c r="AJ85" s="153">
        <v>6</v>
      </c>
      <c r="AK85" s="151">
        <v>254.4</v>
      </c>
      <c r="AL85" s="152">
        <v>71.5</v>
      </c>
      <c r="AM85" s="159"/>
      <c r="AN85" s="149"/>
      <c r="AO85" s="115"/>
      <c r="AP85" s="121"/>
      <c r="AQ85" s="161"/>
      <c r="AR85" s="121"/>
      <c r="AS85" s="162"/>
      <c r="AT85" s="163"/>
    </row>
    <row r="86" spans="1:46" ht="15">
      <c r="A86" s="151" t="s">
        <v>45</v>
      </c>
      <c r="B86" s="152" t="s">
        <v>99</v>
      </c>
      <c r="C86" s="152">
        <v>11</v>
      </c>
      <c r="D86" s="153">
        <v>4</v>
      </c>
      <c r="E86" s="151" t="s">
        <v>47</v>
      </c>
      <c r="F86" s="152" t="s">
        <v>102</v>
      </c>
      <c r="G86" s="154">
        <f t="shared" si="79"/>
        <v>605.655</v>
      </c>
      <c r="H86" s="154">
        <f t="shared" si="79"/>
        <v>605.745</v>
      </c>
      <c r="I86" s="109">
        <f t="shared" si="55"/>
        <v>605.7</v>
      </c>
      <c r="J86" s="155">
        <v>10</v>
      </c>
      <c r="K86" s="156">
        <v>19</v>
      </c>
      <c r="L86" s="153">
        <f t="shared" si="56"/>
        <v>14.5</v>
      </c>
      <c r="M86" s="151">
        <v>90</v>
      </c>
      <c r="N86" s="152">
        <v>60</v>
      </c>
      <c r="O86" s="152">
        <v>40</v>
      </c>
      <c r="P86" s="152">
        <v>8</v>
      </c>
      <c r="Q86" s="152">
        <v>8</v>
      </c>
      <c r="R86" s="153">
        <v>270</v>
      </c>
      <c r="S86" s="157">
        <f>COS(N86*PI()/180)*SIN(M86*PI()/180)*(SIN(P86*PI()/180))-(COS(P86*PI()/180)*SIN(O86*PI()/180))*(SIN(N86*PI()/180))</f>
        <v>-0.4816663706875125</v>
      </c>
      <c r="T86" s="158">
        <f>(SIN(N86*PI()/180))*(COS(P86*PI()/180)*COS(O86*PI()/180))-(SIN(P86*PI()/180))*(COS(N86*PI()/180)*COS(M86*PI()/180))</f>
        <v>0.6569576492294749</v>
      </c>
      <c r="U86" s="158">
        <f>(COS(N86*PI()/180)*COS(M86*PI()/180))*(COS(P86*PI()/180)*SIN(O86*PI()/180))-(COS(N86*PI()/180)*SIN(M86*PI()/180))*(COS(P86*PI()/180)*COS(O86*PI()/180))</f>
        <v>-0.3792946756288212</v>
      </c>
      <c r="V86" s="149">
        <f>IF(S86=0,IF(T86&gt;=0,90,270),IF(S86&gt;0,IF(T86&gt;=0,ATAN(T86/S86)*180/PI(),ATAN(T86/S86)*180/PI()+360),ATAN(T86/S86)*180/PI()+180))</f>
        <v>126.24802001256967</v>
      </c>
      <c r="W86" s="115">
        <f>ASIN(U86/SQRT(S86^2+T86^2+U86^2))*180/PI()</f>
        <v>-24.967289921788844</v>
      </c>
      <c r="X86" s="159">
        <f>IF(U86&lt;0,V86,IF(V86+180&gt;=360,V86-180,V86+180))</f>
        <v>126.24802001256967</v>
      </c>
      <c r="Y86" s="149">
        <f>IF(X86-90&lt;0,X86+270,X86-90)</f>
        <v>36.24802001256967</v>
      </c>
      <c r="Z86" s="115">
        <f>IF(U86&lt;0,90+W86,90-W86)</f>
        <v>65.03271007821115</v>
      </c>
      <c r="AA86" s="160">
        <f>IF(-T86&lt;0,180-ACOS(SIN((X86-90)*PI()/180)*U86/SQRT(T86^2+U86^2))*180/PI(),ACOS(SIN((X86-90)*PI()/180)*U86/SQRT(T86^2+U86^2))*180/PI())</f>
        <v>72.80402810401404</v>
      </c>
      <c r="AB86" s="119">
        <f>IF(R86=90,IF(AA86-Q86&lt;0,AA86-Q86+180,AA86-Q86),IF(AA86+Q86&gt;180,AA86+Q86-180,AA86+Q86))</f>
        <v>80.80402810401404</v>
      </c>
      <c r="AC86" s="120">
        <f>COS(AB86*PI()/180)</f>
        <v>0.15981178798699322</v>
      </c>
      <c r="AD86" s="120">
        <f>SIN(AB86*PI()/180)*COS(Z86*PI()/180)</f>
        <v>0.41667573398064833</v>
      </c>
      <c r="AE86" s="120">
        <f>SIN(AB86*PI()/180)*SIN(Z86*PI()/180)</f>
        <v>0.8948974942037152</v>
      </c>
      <c r="AF86" s="121">
        <f>IF(IF(AC86=0,IF(AD86&gt;=0,90,270),IF(AC86&gt;0,IF(AD86&gt;=0,ATAN(AD86/AC86)*180/PI(),ATAN(AD86/AC86)*180/PI()+360),ATAN(AD86/AC86)*180/PI()+180))-(360-Y86)&lt;0,IF(AC86=0,IF(AD86&gt;=0,90,270),IF(AC86&gt;0,IF(AD86&gt;=0,ATAN(AD86/AC86)*180/PI(),ATAN(AD86/AC86)*180/PI()+360),ATAN(AD86/AC86)*180/PI()+180))+Y86,IF(AC86=0,IF(AD86&gt;=0,90,270),IF(AC86&gt;0,IF(AD86&gt;=0,ATAN(AD86/AC86)*180/PI(),ATAN(AD86/AC86)*180/PI()+360),ATAN(AD86/AC86)*180/PI()+180))-(360-Y86))</f>
        <v>105.26420600044514</v>
      </c>
      <c r="AG86" s="119">
        <f>ASIN(AE86/SQRT(AC86^2+AD86^2+AE86^2))*180/PI()</f>
        <v>63.495266289382094</v>
      </c>
      <c r="AH86" s="122">
        <f>SIN(AE86*PI()/180)*SIN(AC86*PI()/180)</f>
        <v>4.356308391046044E-05</v>
      </c>
      <c r="AI86" s="151">
        <v>8</v>
      </c>
      <c r="AJ86" s="153">
        <v>42</v>
      </c>
      <c r="AK86" s="248">
        <v>114.7</v>
      </c>
      <c r="AL86" s="249">
        <v>47.6</v>
      </c>
      <c r="AM86" s="250">
        <f>IF(AL86&gt;=0,IF(X86&gt;=AK86,X86-AK86,X86-AK86+360),IF((X86-AK86-180)&lt;0,IF(X86-AK86+180&lt;0,X86-AK86+540,X86-AK86+180),X86-AK86-180))</f>
        <v>11.548020012569665</v>
      </c>
      <c r="AN86" s="251">
        <f>IF(AM86-90&lt;0,AM86+270,AM86-90)</f>
        <v>281.5480200125697</v>
      </c>
      <c r="AO86" s="252">
        <f>Z86</f>
        <v>65.03271007821115</v>
      </c>
      <c r="AP86" s="253">
        <f>AB86</f>
        <v>80.80402810401404</v>
      </c>
      <c r="AQ86" s="254">
        <f>IF(AL86&gt;=0,IF(AF86&gt;=AK86,AF86-AK86,AF86-AK86+360),IF((AF86-AK86-180)&lt;0,IF(AF86-AK86+180&lt;0,AF86-AK86+540,AF86-AK86+180),AF86-AK86-180))</f>
        <v>350.56420600044515</v>
      </c>
      <c r="AR86" s="253">
        <f>AG86</f>
        <v>63.495266289382094</v>
      </c>
      <c r="AS86" s="162"/>
      <c r="AT86" s="163"/>
    </row>
    <row r="87" spans="1:46" ht="15">
      <c r="A87" s="151" t="s">
        <v>45</v>
      </c>
      <c r="B87" s="152" t="s">
        <v>99</v>
      </c>
      <c r="C87" s="152">
        <v>11</v>
      </c>
      <c r="D87" s="153">
        <v>4</v>
      </c>
      <c r="E87" s="151" t="s">
        <v>112</v>
      </c>
      <c r="F87" s="152"/>
      <c r="G87" s="154">
        <f t="shared" si="79"/>
        <v>605.7149999999999</v>
      </c>
      <c r="H87" s="154">
        <f t="shared" si="79"/>
        <v>605.7149999999999</v>
      </c>
      <c r="I87" s="109">
        <f t="shared" si="55"/>
        <v>605.7149999999999</v>
      </c>
      <c r="J87" s="155">
        <v>16</v>
      </c>
      <c r="K87" s="156">
        <v>16</v>
      </c>
      <c r="L87" s="153">
        <f t="shared" si="56"/>
        <v>16</v>
      </c>
      <c r="M87" s="151">
        <v>270</v>
      </c>
      <c r="N87" s="152">
        <v>13</v>
      </c>
      <c r="O87" s="152">
        <v>0</v>
      </c>
      <c r="P87" s="152">
        <v>4</v>
      </c>
      <c r="Q87" s="152"/>
      <c r="R87" s="153"/>
      <c r="S87" s="157">
        <f>COS(N87*PI()/180)*SIN(M87*PI()/180)*(SIN(P87*PI()/180))-(COS(P87*PI()/180)*SIN(O87*PI()/180))*(SIN(N87*PI()/180))</f>
        <v>-0.06796861984125294</v>
      </c>
      <c r="T87" s="158">
        <f>(SIN(N87*PI()/180))*(COS(P87*PI()/180)*COS(O87*PI()/180))-(SIN(P87*PI()/180))*(COS(N87*PI()/180)*COS(M87*PI()/180))</f>
        <v>0.2244030848814838</v>
      </c>
      <c r="U87" s="158">
        <f>(COS(N87*PI()/180)*COS(M87*PI()/180))*(COS(P87*PI()/180)*SIN(O87*PI()/180))-(COS(N87*PI()/180)*SIN(M87*PI()/180))*(COS(P87*PI()/180)*COS(O87*PI()/180))</f>
        <v>0.9719965482790865</v>
      </c>
      <c r="V87" s="149">
        <f>IF(S87=0,IF(T87&gt;=0,90,270),IF(S87&gt;0,IF(T87&gt;=0,ATAN(T87/S87)*180/PI(),ATAN(T87/S87)*180/PI()+360),ATAN(T87/S87)*180/PI()+180))</f>
        <v>106.850841566885</v>
      </c>
      <c r="W87" s="115">
        <f>ASIN(U87/SQRT(S87^2+T87^2+U87^2))*180/PI()</f>
        <v>76.43787781462116</v>
      </c>
      <c r="X87" s="159">
        <f>IF(U87&lt;0,V87,IF(V87+180&gt;=360,V87-180,V87+180))</f>
        <v>286.850841566885</v>
      </c>
      <c r="Y87" s="149">
        <f>IF(X87-90&lt;0,X87+270,X87-90)</f>
        <v>196.85084156688498</v>
      </c>
      <c r="Z87" s="115">
        <f>IF(U87&lt;0,90+W87,90-W87)</f>
        <v>13.56212218537884</v>
      </c>
      <c r="AA87" s="160">
        <f>IF(-T87&lt;0,180-ACOS(SIN((X87-90)*PI()/180)*U87/SQRT(T87^2+U87^2))*180/PI(),ACOS(SIN((X87-90)*PI()/180)*U87/SQRT(T87^2+U87^2))*180/PI())</f>
        <v>73.59342582134258</v>
      </c>
      <c r="AB87" s="119">
        <f>IF(R87=90,IF(AA87-Q87&lt;0,AA87-Q87+180,AA87-Q87),IF(AA87+Q87&gt;180,AA87+Q87-180,AA87+Q87))</f>
        <v>73.59342582134258</v>
      </c>
      <c r="AC87" s="120">
        <f>COS(AB87*PI()/180)</f>
        <v>0.2824515276894183</v>
      </c>
      <c r="AD87" s="120">
        <f>SIN(AB87*PI()/180)*COS(Z87*PI()/180)</f>
        <v>0.9325331938625548</v>
      </c>
      <c r="AE87" s="120">
        <f>SIN(AB87*PI()/180)*SIN(Z87*PI()/180)</f>
        <v>0.22495105434386495</v>
      </c>
      <c r="AF87" s="121">
        <f>IF(IF(AC87=0,IF(AD87&gt;=0,90,270),IF(AC87&gt;0,IF(AD87&gt;=0,ATAN(AD87/AC87)*180/PI(),ATAN(AD87/AC87)*180/PI()+360),ATAN(AD87/AC87)*180/PI()+180))-(360-Y87)&lt;0,IF(AC87=0,IF(AD87&gt;=0,90,270),IF(AC87&gt;0,IF(AD87&gt;=0,ATAN(AD87/AC87)*180/PI(),ATAN(AD87/AC87)*180/PI()+360),ATAN(AD87/AC87)*180/PI()+180))+Y87,IF(AC87=0,IF(AD87&gt;=0,90,270),IF(AC87&gt;0,IF(AD87&gt;=0,ATAN(AD87/AC87)*180/PI(),ATAN(AD87/AC87)*180/PI()+360),ATAN(AD87/AC87)*180/PI()+180))-(360-Y87))</f>
        <v>270</v>
      </c>
      <c r="AG87" s="119">
        <f>ASIN(AE87/SQRT(AC87^2+AD87^2+AE87^2))*180/PI()</f>
        <v>12.999999999999998</v>
      </c>
      <c r="AH87" s="122">
        <f>SIN(AE87*PI()/180)*SIN(AC87*PI()/180)</f>
        <v>1.9354583121183543E-05</v>
      </c>
      <c r="AI87" s="151">
        <v>8</v>
      </c>
      <c r="AJ87" s="153">
        <v>42</v>
      </c>
      <c r="AK87" s="248">
        <v>114.7</v>
      </c>
      <c r="AL87" s="249">
        <v>47.6</v>
      </c>
      <c r="AM87" s="250">
        <f>IF(AL87&gt;=0,IF(X87&gt;=AK87,X87-AK87,X87-AK87+360),IF((X87-AK87-180)&lt;0,IF(X87-AK87+180&lt;0,X87-AK87+540,X87-AK87+180),X87-AK87-180))</f>
        <v>172.150841566885</v>
      </c>
      <c r="AN87" s="251">
        <f>IF(AM87-90&lt;0,AM87+270,AM87-90)</f>
        <v>82.15084156688499</v>
      </c>
      <c r="AO87" s="252">
        <f>Z87</f>
        <v>13.56212218537884</v>
      </c>
      <c r="AP87" s="253"/>
      <c r="AQ87" s="254"/>
      <c r="AR87" s="253"/>
      <c r="AS87" s="162"/>
      <c r="AT87" s="163"/>
    </row>
    <row r="88" spans="1:46" ht="15">
      <c r="A88" s="151" t="s">
        <v>45</v>
      </c>
      <c r="B88" s="152" t="s">
        <v>99</v>
      </c>
      <c r="C88" s="152">
        <v>11</v>
      </c>
      <c r="D88" s="153">
        <v>4</v>
      </c>
      <c r="E88" s="151" t="s">
        <v>98</v>
      </c>
      <c r="F88" s="152"/>
      <c r="G88" s="154">
        <f t="shared" si="79"/>
        <v>605.7249999999999</v>
      </c>
      <c r="H88" s="154">
        <f t="shared" si="79"/>
        <v>605.755</v>
      </c>
      <c r="I88" s="109">
        <f t="shared" si="55"/>
        <v>605.74</v>
      </c>
      <c r="J88" s="155">
        <v>17</v>
      </c>
      <c r="K88" s="156">
        <v>20</v>
      </c>
      <c r="L88" s="153">
        <f t="shared" si="56"/>
        <v>18.5</v>
      </c>
      <c r="M88" s="151"/>
      <c r="N88" s="152"/>
      <c r="O88" s="152"/>
      <c r="P88" s="152"/>
      <c r="Q88" s="152"/>
      <c r="R88" s="153"/>
      <c r="S88" s="157"/>
      <c r="T88" s="158"/>
      <c r="U88" s="158"/>
      <c r="V88" s="149"/>
      <c r="W88" s="115"/>
      <c r="X88" s="159"/>
      <c r="Y88" s="149"/>
      <c r="Z88" s="115"/>
      <c r="AA88" s="160"/>
      <c r="AB88" s="119"/>
      <c r="AC88" s="120"/>
      <c r="AD88" s="120"/>
      <c r="AE88" s="120"/>
      <c r="AF88" s="121"/>
      <c r="AG88" s="119"/>
      <c r="AH88" s="122"/>
      <c r="AI88" s="151">
        <v>8</v>
      </c>
      <c r="AJ88" s="153">
        <v>42</v>
      </c>
      <c r="AK88" s="248">
        <v>114.7</v>
      </c>
      <c r="AL88" s="249">
        <v>47.6</v>
      </c>
      <c r="AM88" s="250"/>
      <c r="AN88" s="251"/>
      <c r="AO88" s="252"/>
      <c r="AP88" s="253"/>
      <c r="AQ88" s="254"/>
      <c r="AR88" s="253"/>
      <c r="AS88" s="162"/>
      <c r="AT88" s="163"/>
    </row>
    <row r="89" spans="1:46" ht="15">
      <c r="A89" s="151" t="s">
        <v>45</v>
      </c>
      <c r="B89" s="152" t="s">
        <v>99</v>
      </c>
      <c r="C89" s="152">
        <v>12</v>
      </c>
      <c r="D89" s="153">
        <v>1</v>
      </c>
      <c r="E89" s="151" t="s">
        <v>48</v>
      </c>
      <c r="F89" s="152"/>
      <c r="G89" s="154">
        <f aca="true" t="shared" si="80" ref="G89:H92">J89/100+612</f>
        <v>612.33</v>
      </c>
      <c r="H89" s="154">
        <f t="shared" si="80"/>
        <v>612.34</v>
      </c>
      <c r="I89" s="109">
        <f t="shared" si="55"/>
        <v>612.335</v>
      </c>
      <c r="J89" s="155">
        <v>33</v>
      </c>
      <c r="K89" s="156">
        <v>34</v>
      </c>
      <c r="L89" s="153">
        <f t="shared" si="56"/>
        <v>33.5</v>
      </c>
      <c r="M89" s="151">
        <v>90</v>
      </c>
      <c r="N89" s="152">
        <v>2</v>
      </c>
      <c r="O89" s="152">
        <v>0</v>
      </c>
      <c r="P89" s="152">
        <v>7</v>
      </c>
      <c r="Q89" s="152"/>
      <c r="R89" s="153"/>
      <c r="S89" s="157">
        <f aca="true" t="shared" si="81" ref="S89:S114">COS(N89*PI()/180)*SIN(M89*PI()/180)*(SIN(P89*PI()/180))-(COS(P89*PI()/180)*SIN(O89*PI()/180))*(SIN(N89*PI()/180))</f>
        <v>0.12179510389394452</v>
      </c>
      <c r="T89" s="158">
        <f aca="true" t="shared" si="82" ref="T89:T114">(SIN(N89*PI()/180))*(COS(P89*PI()/180)*COS(O89*PI()/180))-(SIN(P89*PI()/180))*(COS(N89*PI()/180)*COS(M89*PI()/180))</f>
        <v>0.03463936114628634</v>
      </c>
      <c r="U89" s="158">
        <f aca="true" t="shared" si="83" ref="U89:U114">(COS(N89*PI()/180)*COS(M89*PI()/180))*(COS(P89*PI()/180)*SIN(O89*PI()/180))-(COS(N89*PI()/180)*SIN(M89*PI()/180))*(COS(P89*PI()/180)*COS(O89*PI()/180))</f>
        <v>-0.9919415193434417</v>
      </c>
      <c r="V89" s="149">
        <f aca="true" t="shared" si="84" ref="V89:V114">IF(S89=0,IF(T89&gt;=0,90,270),IF(S89&gt;0,IF(T89&gt;=0,ATAN(T89/S89)*180/PI(),ATAN(T89/S89)*180/PI()+360),ATAN(T89/S89)*180/PI()+180))</f>
        <v>15.876114782092577</v>
      </c>
      <c r="W89" s="115">
        <f aca="true" t="shared" si="85" ref="W89:W114">ASIN(U89/SQRT(S89^2+T89^2+U89^2))*180/PI()</f>
        <v>-82.72531708215084</v>
      </c>
      <c r="X89" s="159">
        <f aca="true" t="shared" si="86" ref="X89:X114">IF(U89&lt;0,V89,IF(V89+180&gt;=360,V89-180,V89+180))</f>
        <v>15.876114782092577</v>
      </c>
      <c r="Y89" s="149">
        <f aca="true" t="shared" si="87" ref="Y89:Y114">IF(X89-90&lt;0,X89+270,X89-90)</f>
        <v>285.8761147820926</v>
      </c>
      <c r="Z89" s="115">
        <f aca="true" t="shared" si="88" ref="Z89:Z114">IF(U89&lt;0,90+W89,90-W89)</f>
        <v>7.274682917849162</v>
      </c>
      <c r="AA89" s="160">
        <f aca="true" t="shared" si="89" ref="AA89:AA114">IF(-T89&lt;0,180-ACOS(SIN((X89-90)*PI()/180)*U89/SQRT(T89^2+U89^2))*180/PI(),ACOS(SIN((X89-90)*PI()/180)*U89/SQRT(T89^2+U89^2))*180/PI())</f>
        <v>164.00162157149208</v>
      </c>
      <c r="AB89" s="119">
        <f aca="true" t="shared" si="90" ref="AB89:AB114">IF(R89=90,IF(AA89-Q89&lt;0,AA89-Q89+180,AA89-Q89),IF(AA89+Q89&gt;180,AA89+Q89-180,AA89+Q89))</f>
        <v>164.00162157149208</v>
      </c>
      <c r="AC89" s="120">
        <f aca="true" t="shared" si="91" ref="AC89:AC114">COS(AB89*PI()/180)</f>
        <v>-0.9612694965760679</v>
      </c>
      <c r="AD89" s="120">
        <f aca="true" t="shared" si="92" ref="AD89:AD114">SIN(AB89*PI()/180)*COS(Z89*PI()/180)</f>
        <v>0.2733916240163644</v>
      </c>
      <c r="AE89" s="120">
        <f aca="true" t="shared" si="93" ref="AE89:AE114">SIN(AB89*PI()/180)*SIN(Z89*PI()/180)</f>
        <v>0.034899496702500823</v>
      </c>
      <c r="AF89" s="121">
        <f aca="true" t="shared" si="94" ref="AF89:AF114">IF(IF(AC89=0,IF(AD89&gt;=0,90,270),IF(AC89&gt;0,IF(AD89&gt;=0,ATAN(AD89/AC89)*180/PI(),ATAN(AD89/AC89)*180/PI()+360),ATAN(AD89/AC89)*180/PI()+180))-(360-Y89)&lt;0,IF(AC89=0,IF(AD89&gt;=0,90,270),IF(AC89&gt;0,IF(AD89&gt;=0,ATAN(AD89/AC89)*180/PI(),ATAN(AD89/AC89)*180/PI()+360),ATAN(AD89/AC89)*180/PI()+180))+Y89,IF(AC89=0,IF(AD89&gt;=0,90,270),IF(AC89&gt;0,IF(AD89&gt;=0,ATAN(AD89/AC89)*180/PI(),ATAN(AD89/AC89)*180/PI()+360),ATAN(AD89/AC89)*180/PI()+180))-(360-Y89))</f>
        <v>90</v>
      </c>
      <c r="AG89" s="119">
        <f aca="true" t="shared" si="95" ref="AG89:AG114">ASIN(AE89/SQRT(AC89^2+AD89^2+AE89^2))*180/PI()</f>
        <v>1.9999999999999918</v>
      </c>
      <c r="AH89" s="122">
        <f aca="true" t="shared" si="96" ref="AH89:AH114">SIN(AE89*PI()/180)*SIN(AC89*PI()/180)</f>
        <v>-1.0218770821647269E-05</v>
      </c>
      <c r="AI89" s="151">
        <v>21</v>
      </c>
      <c r="AJ89" s="153">
        <v>50</v>
      </c>
      <c r="AK89" s="151">
        <v>81.2</v>
      </c>
      <c r="AL89" s="152">
        <v>46.8</v>
      </c>
      <c r="AM89" s="159">
        <f aca="true" t="shared" si="97" ref="AM89:AM114">IF(AL89&gt;=0,IF(X89&gt;=AK89,X89-AK89,X89-AK89+360),IF((X89-AK89-180)&lt;0,IF(X89-AK89+180&lt;0,X89-AK89+540,X89-AK89+180),X89-AK89-180))</f>
        <v>294.67611478209255</v>
      </c>
      <c r="AN89" s="149">
        <f aca="true" t="shared" si="98" ref="AN89:AN114">IF(AM89-90&lt;0,AM89+270,AM89-90)</f>
        <v>204.67611478209255</v>
      </c>
      <c r="AO89" s="115">
        <f aca="true" t="shared" si="99" ref="AO89:AO114">Z89</f>
        <v>7.274682917849162</v>
      </c>
      <c r="AP89" s="121"/>
      <c r="AQ89" s="161"/>
      <c r="AR89" s="121"/>
      <c r="AS89" s="162"/>
      <c r="AT89" s="163"/>
    </row>
    <row r="90" spans="1:46" ht="15">
      <c r="A90" s="151" t="s">
        <v>45</v>
      </c>
      <c r="B90" s="152" t="s">
        <v>99</v>
      </c>
      <c r="C90" s="152">
        <v>12</v>
      </c>
      <c r="D90" s="153">
        <v>1</v>
      </c>
      <c r="E90" s="151" t="s">
        <v>47</v>
      </c>
      <c r="F90" s="152" t="s">
        <v>105</v>
      </c>
      <c r="G90" s="154">
        <f t="shared" si="80"/>
        <v>612.32</v>
      </c>
      <c r="H90" s="154">
        <f t="shared" si="80"/>
        <v>612.41</v>
      </c>
      <c r="I90" s="109">
        <f t="shared" si="55"/>
        <v>612.365</v>
      </c>
      <c r="J90" s="155">
        <v>32</v>
      </c>
      <c r="K90" s="156">
        <v>41</v>
      </c>
      <c r="L90" s="153">
        <f t="shared" si="56"/>
        <v>36.5</v>
      </c>
      <c r="M90" s="151">
        <v>270</v>
      </c>
      <c r="N90" s="152">
        <v>87</v>
      </c>
      <c r="O90" s="152">
        <v>322</v>
      </c>
      <c r="P90" s="152">
        <v>0</v>
      </c>
      <c r="Q90" s="152"/>
      <c r="R90" s="153"/>
      <c r="S90" s="157">
        <f t="shared" si="81"/>
        <v>0.6148177326707772</v>
      </c>
      <c r="T90" s="158">
        <f t="shared" si="82"/>
        <v>0.7869308122558815</v>
      </c>
      <c r="U90" s="158">
        <f t="shared" si="83"/>
        <v>0.04124129631973068</v>
      </c>
      <c r="V90" s="149">
        <f t="shared" si="84"/>
        <v>51.99999999999997</v>
      </c>
      <c r="W90" s="115">
        <f t="shared" si="85"/>
        <v>2.3648511891703943</v>
      </c>
      <c r="X90" s="159">
        <f t="shared" si="86"/>
        <v>231.99999999999997</v>
      </c>
      <c r="Y90" s="149">
        <f t="shared" si="87"/>
        <v>141.99999999999997</v>
      </c>
      <c r="Z90" s="115">
        <f t="shared" si="88"/>
        <v>87.6351488108296</v>
      </c>
      <c r="AA90" s="160">
        <f t="shared" si="89"/>
        <v>91.8464602018054</v>
      </c>
      <c r="AB90" s="119">
        <f t="shared" si="90"/>
        <v>91.8464602018054</v>
      </c>
      <c r="AC90" s="120">
        <f t="shared" si="91"/>
        <v>-0.03222123203311002</v>
      </c>
      <c r="AD90" s="120">
        <f t="shared" si="92"/>
        <v>0.04124129631973062</v>
      </c>
      <c r="AE90" s="120">
        <f t="shared" si="93"/>
        <v>0.9986295347545738</v>
      </c>
      <c r="AF90" s="121">
        <f t="shared" si="94"/>
        <v>270.00000000000006</v>
      </c>
      <c r="AG90" s="119">
        <f t="shared" si="95"/>
        <v>86.99999999999996</v>
      </c>
      <c r="AH90" s="122">
        <f t="shared" si="96"/>
        <v>-9.801200470286501E-06</v>
      </c>
      <c r="AI90" s="151">
        <v>21</v>
      </c>
      <c r="AJ90" s="153">
        <v>50</v>
      </c>
      <c r="AK90" s="151">
        <v>81.2</v>
      </c>
      <c r="AL90" s="152">
        <v>46.8</v>
      </c>
      <c r="AM90" s="159">
        <f t="shared" si="97"/>
        <v>150.79999999999995</v>
      </c>
      <c r="AN90" s="149">
        <f t="shared" si="98"/>
        <v>60.799999999999955</v>
      </c>
      <c r="AO90" s="115">
        <f t="shared" si="99"/>
        <v>87.6351488108296</v>
      </c>
      <c r="AP90" s="121"/>
      <c r="AQ90" s="161"/>
      <c r="AR90" s="121"/>
      <c r="AS90" s="162"/>
      <c r="AT90" s="163"/>
    </row>
    <row r="91" spans="1:46" ht="15">
      <c r="A91" s="151" t="s">
        <v>45</v>
      </c>
      <c r="B91" s="152" t="s">
        <v>99</v>
      </c>
      <c r="C91" s="152">
        <v>12</v>
      </c>
      <c r="D91" s="153">
        <v>1</v>
      </c>
      <c r="E91" s="151" t="s">
        <v>47</v>
      </c>
      <c r="F91" s="152" t="s">
        <v>105</v>
      </c>
      <c r="G91" s="154">
        <f t="shared" si="80"/>
        <v>612.3</v>
      </c>
      <c r="H91" s="154">
        <f t="shared" si="80"/>
        <v>612.5</v>
      </c>
      <c r="I91" s="109">
        <f t="shared" si="55"/>
        <v>612.4</v>
      </c>
      <c r="J91" s="155">
        <v>30</v>
      </c>
      <c r="K91" s="156">
        <v>50</v>
      </c>
      <c r="L91" s="153">
        <f t="shared" si="56"/>
        <v>40</v>
      </c>
      <c r="M91" s="151">
        <v>270</v>
      </c>
      <c r="N91" s="152">
        <v>88</v>
      </c>
      <c r="O91" s="152">
        <v>292</v>
      </c>
      <c r="P91" s="152">
        <v>0</v>
      </c>
      <c r="Q91" s="152"/>
      <c r="R91" s="153"/>
      <c r="S91" s="157">
        <f t="shared" si="81"/>
        <v>0.9266190392142547</v>
      </c>
      <c r="T91" s="158">
        <f t="shared" si="82"/>
        <v>0.3743783932007344</v>
      </c>
      <c r="U91" s="158">
        <f t="shared" si="83"/>
        <v>0.013073581571653788</v>
      </c>
      <c r="V91" s="149">
        <f t="shared" si="84"/>
        <v>21.999999999999996</v>
      </c>
      <c r="W91" s="115">
        <f t="shared" si="85"/>
        <v>0.7494748832303176</v>
      </c>
      <c r="X91" s="159">
        <f t="shared" si="86"/>
        <v>202</v>
      </c>
      <c r="Y91" s="149">
        <f t="shared" si="87"/>
        <v>112</v>
      </c>
      <c r="Z91" s="115">
        <f t="shared" si="88"/>
        <v>89.25052511676968</v>
      </c>
      <c r="AA91" s="160">
        <f t="shared" si="89"/>
        <v>91.85431484167276</v>
      </c>
      <c r="AB91" s="119">
        <f t="shared" si="90"/>
        <v>91.85431484167276</v>
      </c>
      <c r="AC91" s="120">
        <f t="shared" si="91"/>
        <v>-0.032358249875065886</v>
      </c>
      <c r="AD91" s="120">
        <f t="shared" si="92"/>
        <v>0.013073581571653996</v>
      </c>
      <c r="AE91" s="120">
        <f t="shared" si="93"/>
        <v>0.9993908270190958</v>
      </c>
      <c r="AF91" s="121">
        <f t="shared" si="94"/>
        <v>269.9999999999997</v>
      </c>
      <c r="AG91" s="119">
        <f t="shared" si="95"/>
        <v>88.00000000000006</v>
      </c>
      <c r="AH91" s="122">
        <f t="shared" si="96"/>
        <v>-9.850382004833443E-06</v>
      </c>
      <c r="AI91" s="151">
        <v>21</v>
      </c>
      <c r="AJ91" s="153">
        <v>50</v>
      </c>
      <c r="AK91" s="151">
        <v>81.2</v>
      </c>
      <c r="AL91" s="152">
        <v>46.8</v>
      </c>
      <c r="AM91" s="159">
        <f t="shared" si="97"/>
        <v>120.8</v>
      </c>
      <c r="AN91" s="149">
        <f t="shared" si="98"/>
        <v>30.799999999999997</v>
      </c>
      <c r="AO91" s="115">
        <f t="shared" si="99"/>
        <v>89.25052511676968</v>
      </c>
      <c r="AP91" s="121"/>
      <c r="AQ91" s="161"/>
      <c r="AR91" s="121"/>
      <c r="AS91" s="162"/>
      <c r="AT91" s="163"/>
    </row>
    <row r="92" spans="1:46" ht="15">
      <c r="A92" s="151" t="s">
        <v>45</v>
      </c>
      <c r="B92" s="152" t="s">
        <v>99</v>
      </c>
      <c r="C92" s="152">
        <v>12</v>
      </c>
      <c r="D92" s="153">
        <v>1</v>
      </c>
      <c r="E92" s="151" t="s">
        <v>47</v>
      </c>
      <c r="F92" s="152" t="s">
        <v>105</v>
      </c>
      <c r="G92" s="154">
        <f t="shared" si="80"/>
        <v>612.33</v>
      </c>
      <c r="H92" s="154">
        <f t="shared" si="80"/>
        <v>612.5</v>
      </c>
      <c r="I92" s="109">
        <f t="shared" si="55"/>
        <v>612.415</v>
      </c>
      <c r="J92" s="155">
        <v>33</v>
      </c>
      <c r="K92" s="156">
        <v>50</v>
      </c>
      <c r="L92" s="153">
        <f t="shared" si="56"/>
        <v>41.5</v>
      </c>
      <c r="M92" s="151">
        <v>270</v>
      </c>
      <c r="N92" s="152">
        <v>85</v>
      </c>
      <c r="O92" s="152">
        <v>322</v>
      </c>
      <c r="P92" s="152">
        <v>0</v>
      </c>
      <c r="Q92" s="152"/>
      <c r="R92" s="153"/>
      <c r="S92" s="157">
        <f t="shared" si="81"/>
        <v>0.6133186975387633</v>
      </c>
      <c r="T92" s="158">
        <f t="shared" si="82"/>
        <v>0.7850121347822969</v>
      </c>
      <c r="U92" s="158">
        <f t="shared" si="83"/>
        <v>0.06867966252373565</v>
      </c>
      <c r="V92" s="149">
        <f t="shared" si="84"/>
        <v>51.99999999999997</v>
      </c>
      <c r="W92" s="115">
        <f t="shared" si="85"/>
        <v>3.943845604389285</v>
      </c>
      <c r="X92" s="159">
        <f t="shared" si="86"/>
        <v>231.99999999999997</v>
      </c>
      <c r="Y92" s="149">
        <f t="shared" si="87"/>
        <v>141.99999999999997</v>
      </c>
      <c r="Z92" s="115">
        <f t="shared" si="88"/>
        <v>86.05615439561072</v>
      </c>
      <c r="AA92" s="160">
        <f t="shared" si="89"/>
        <v>93.07587898729986</v>
      </c>
      <c r="AB92" s="119">
        <f t="shared" si="90"/>
        <v>93.07587898729986</v>
      </c>
      <c r="AC92" s="120">
        <f t="shared" si="91"/>
        <v>-0.05365843316312664</v>
      </c>
      <c r="AD92" s="120">
        <f t="shared" si="92"/>
        <v>0.0686796625237358</v>
      </c>
      <c r="AE92" s="120">
        <f t="shared" si="93"/>
        <v>0.9961946980917455</v>
      </c>
      <c r="AF92" s="121">
        <f t="shared" si="94"/>
        <v>269.9999999999999</v>
      </c>
      <c r="AG92" s="119">
        <f t="shared" si="95"/>
        <v>85</v>
      </c>
      <c r="AH92" s="122">
        <f t="shared" si="96"/>
        <v>-1.6282271909751392E-05</v>
      </c>
      <c r="AI92" s="151">
        <v>21</v>
      </c>
      <c r="AJ92" s="153">
        <v>50</v>
      </c>
      <c r="AK92" s="151">
        <v>81.2</v>
      </c>
      <c r="AL92" s="152">
        <v>46.8</v>
      </c>
      <c r="AM92" s="159">
        <f t="shared" si="97"/>
        <v>150.79999999999995</v>
      </c>
      <c r="AN92" s="149">
        <f t="shared" si="98"/>
        <v>60.799999999999955</v>
      </c>
      <c r="AO92" s="115">
        <f t="shared" si="99"/>
        <v>86.05615439561072</v>
      </c>
      <c r="AP92" s="121"/>
      <c r="AQ92" s="161"/>
      <c r="AR92" s="121"/>
      <c r="AS92" s="162"/>
      <c r="AT92" s="163"/>
    </row>
    <row r="93" spans="1:46" ht="15">
      <c r="A93" s="151" t="s">
        <v>45</v>
      </c>
      <c r="B93" s="152" t="s">
        <v>99</v>
      </c>
      <c r="C93" s="152">
        <v>12</v>
      </c>
      <c r="D93" s="153">
        <v>2</v>
      </c>
      <c r="E93" s="151" t="s">
        <v>48</v>
      </c>
      <c r="F93" s="152"/>
      <c r="G93" s="154">
        <f aca="true" t="shared" si="100" ref="G93:H100">J93/100+612.69</f>
        <v>613.0400000000001</v>
      </c>
      <c r="H93" s="154">
        <f t="shared" si="100"/>
        <v>613.0500000000001</v>
      </c>
      <c r="I93" s="109">
        <f t="shared" si="55"/>
        <v>613.0450000000001</v>
      </c>
      <c r="J93" s="155">
        <v>35</v>
      </c>
      <c r="K93" s="156">
        <v>36</v>
      </c>
      <c r="L93" s="153">
        <f t="shared" si="56"/>
        <v>35.5</v>
      </c>
      <c r="M93" s="151">
        <v>90</v>
      </c>
      <c r="N93" s="152">
        <v>2</v>
      </c>
      <c r="O93" s="152">
        <v>0</v>
      </c>
      <c r="P93" s="152">
        <v>7</v>
      </c>
      <c r="Q93" s="152"/>
      <c r="R93" s="153"/>
      <c r="S93" s="157">
        <f t="shared" si="81"/>
        <v>0.12179510389394452</v>
      </c>
      <c r="T93" s="158">
        <f t="shared" si="82"/>
        <v>0.03463936114628634</v>
      </c>
      <c r="U93" s="158">
        <f t="shared" si="83"/>
        <v>-0.9919415193434417</v>
      </c>
      <c r="V93" s="149">
        <f t="shared" si="84"/>
        <v>15.876114782092577</v>
      </c>
      <c r="W93" s="115">
        <f t="shared" si="85"/>
        <v>-82.72531708215084</v>
      </c>
      <c r="X93" s="159">
        <f t="shared" si="86"/>
        <v>15.876114782092577</v>
      </c>
      <c r="Y93" s="149">
        <f t="shared" si="87"/>
        <v>285.8761147820926</v>
      </c>
      <c r="Z93" s="115">
        <f t="shared" si="88"/>
        <v>7.274682917849162</v>
      </c>
      <c r="AA93" s="160">
        <f t="shared" si="89"/>
        <v>164.00162157149208</v>
      </c>
      <c r="AB93" s="119">
        <f t="shared" si="90"/>
        <v>164.00162157149208</v>
      </c>
      <c r="AC93" s="120">
        <f t="shared" si="91"/>
        <v>-0.9612694965760679</v>
      </c>
      <c r="AD93" s="120">
        <f t="shared" si="92"/>
        <v>0.2733916240163644</v>
      </c>
      <c r="AE93" s="120">
        <f t="shared" si="93"/>
        <v>0.034899496702500823</v>
      </c>
      <c r="AF93" s="121">
        <f t="shared" si="94"/>
        <v>90</v>
      </c>
      <c r="AG93" s="119">
        <f t="shared" si="95"/>
        <v>1.9999999999999918</v>
      </c>
      <c r="AH93" s="122">
        <f t="shared" si="96"/>
        <v>-1.0218770821647269E-05</v>
      </c>
      <c r="AI93" s="151">
        <v>31</v>
      </c>
      <c r="AJ93" s="153">
        <v>77</v>
      </c>
      <c r="AK93" s="151">
        <v>92.1</v>
      </c>
      <c r="AL93" s="152">
        <v>-56.7</v>
      </c>
      <c r="AM93" s="159">
        <f t="shared" si="97"/>
        <v>103.77611478209258</v>
      </c>
      <c r="AN93" s="149">
        <f t="shared" si="98"/>
        <v>13.776114782092577</v>
      </c>
      <c r="AO93" s="115">
        <f t="shared" si="99"/>
        <v>7.274682917849162</v>
      </c>
      <c r="AP93" s="121"/>
      <c r="AQ93" s="161"/>
      <c r="AR93" s="121"/>
      <c r="AS93" s="162"/>
      <c r="AT93" s="163"/>
    </row>
    <row r="94" spans="1:46" ht="15">
      <c r="A94" s="151" t="s">
        <v>45</v>
      </c>
      <c r="B94" s="152" t="s">
        <v>99</v>
      </c>
      <c r="C94" s="152">
        <v>12</v>
      </c>
      <c r="D94" s="153">
        <v>2</v>
      </c>
      <c r="E94" s="151" t="s">
        <v>48</v>
      </c>
      <c r="F94" s="152"/>
      <c r="G94" s="154">
        <f t="shared" si="100"/>
        <v>613.1600000000001</v>
      </c>
      <c r="H94" s="154">
        <f t="shared" si="100"/>
        <v>613.1700000000001</v>
      </c>
      <c r="I94" s="109">
        <f t="shared" si="55"/>
        <v>613.1650000000001</v>
      </c>
      <c r="J94" s="155">
        <v>47</v>
      </c>
      <c r="K94" s="156">
        <v>48</v>
      </c>
      <c r="L94" s="153">
        <f t="shared" si="56"/>
        <v>47.5</v>
      </c>
      <c r="M94" s="151">
        <v>90</v>
      </c>
      <c r="N94" s="152">
        <v>10</v>
      </c>
      <c r="O94" s="152">
        <v>0</v>
      </c>
      <c r="P94" s="152">
        <v>5</v>
      </c>
      <c r="Q94" s="152"/>
      <c r="R94" s="153"/>
      <c r="S94" s="157">
        <f t="shared" si="81"/>
        <v>0.08583165117743129</v>
      </c>
      <c r="T94" s="158">
        <f t="shared" si="82"/>
        <v>0.17298739392508944</v>
      </c>
      <c r="U94" s="158">
        <f t="shared" si="83"/>
        <v>-0.9810602621904069</v>
      </c>
      <c r="V94" s="149">
        <f t="shared" si="84"/>
        <v>63.61064009110688</v>
      </c>
      <c r="W94" s="115">
        <f t="shared" si="85"/>
        <v>-78.86433605880526</v>
      </c>
      <c r="X94" s="159">
        <f t="shared" si="86"/>
        <v>63.61064009110688</v>
      </c>
      <c r="Y94" s="149">
        <f t="shared" si="87"/>
        <v>333.61064009110686</v>
      </c>
      <c r="Z94" s="115">
        <f t="shared" si="88"/>
        <v>11.135663941194736</v>
      </c>
      <c r="AA94" s="160">
        <f t="shared" si="89"/>
        <v>115.95826603672856</v>
      </c>
      <c r="AB94" s="119">
        <f t="shared" si="90"/>
        <v>115.95826603672856</v>
      </c>
      <c r="AC94" s="120">
        <f t="shared" si="91"/>
        <v>-0.43771635340464765</v>
      </c>
      <c r="AD94" s="120">
        <f t="shared" si="92"/>
        <v>0.8821851871093119</v>
      </c>
      <c r="AE94" s="120">
        <f t="shared" si="93"/>
        <v>0.1736481776669304</v>
      </c>
      <c r="AF94" s="121">
        <f t="shared" si="94"/>
        <v>89.99999999999997</v>
      </c>
      <c r="AG94" s="119">
        <f t="shared" si="95"/>
        <v>10.000000000000004</v>
      </c>
      <c r="AH94" s="122">
        <f t="shared" si="96"/>
        <v>-2.3153297297785206E-05</v>
      </c>
      <c r="AI94" s="151">
        <v>31</v>
      </c>
      <c r="AJ94" s="153">
        <v>77</v>
      </c>
      <c r="AK94" s="151">
        <v>92.1</v>
      </c>
      <c r="AL94" s="152">
        <v>-56.7</v>
      </c>
      <c r="AM94" s="159">
        <f t="shared" si="97"/>
        <v>151.5106400911069</v>
      </c>
      <c r="AN94" s="149">
        <f t="shared" si="98"/>
        <v>61.51064009110689</v>
      </c>
      <c r="AO94" s="115">
        <f t="shared" si="99"/>
        <v>11.135663941194736</v>
      </c>
      <c r="AP94" s="121"/>
      <c r="AQ94" s="161"/>
      <c r="AR94" s="121"/>
      <c r="AS94" s="162"/>
      <c r="AT94" s="163"/>
    </row>
    <row r="95" spans="1:46" ht="15">
      <c r="A95" s="151" t="s">
        <v>45</v>
      </c>
      <c r="B95" s="152" t="s">
        <v>99</v>
      </c>
      <c r="C95" s="152">
        <v>12</v>
      </c>
      <c r="D95" s="153">
        <v>2</v>
      </c>
      <c r="E95" s="151" t="s">
        <v>47</v>
      </c>
      <c r="F95" s="152" t="s">
        <v>105</v>
      </c>
      <c r="G95" s="154">
        <f t="shared" si="100"/>
        <v>613.1600000000001</v>
      </c>
      <c r="H95" s="154">
        <f t="shared" si="100"/>
        <v>613.24</v>
      </c>
      <c r="I95" s="109">
        <f t="shared" si="55"/>
        <v>613.2</v>
      </c>
      <c r="J95" s="155">
        <v>47</v>
      </c>
      <c r="K95" s="156">
        <v>55</v>
      </c>
      <c r="L95" s="153">
        <f t="shared" si="56"/>
        <v>51</v>
      </c>
      <c r="M95" s="151">
        <v>90</v>
      </c>
      <c r="N95" s="152">
        <v>87</v>
      </c>
      <c r="O95" s="152">
        <v>356</v>
      </c>
      <c r="P95" s="152">
        <v>0</v>
      </c>
      <c r="Q95" s="152"/>
      <c r="R95" s="153"/>
      <c r="S95" s="157">
        <f t="shared" si="81"/>
        <v>0.06966087492121495</v>
      </c>
      <c r="T95" s="158">
        <f t="shared" si="82"/>
        <v>0.9961969233988567</v>
      </c>
      <c r="U95" s="158">
        <f t="shared" si="83"/>
        <v>-0.05220846848393212</v>
      </c>
      <c r="V95" s="149">
        <f t="shared" si="84"/>
        <v>86.00000000000003</v>
      </c>
      <c r="W95" s="115">
        <f t="shared" si="85"/>
        <v>-2.9927054514156355</v>
      </c>
      <c r="X95" s="159">
        <f t="shared" si="86"/>
        <v>86.00000000000003</v>
      </c>
      <c r="Y95" s="149">
        <f t="shared" si="87"/>
        <v>356</v>
      </c>
      <c r="Z95" s="115">
        <f t="shared" si="88"/>
        <v>87.00729454858437</v>
      </c>
      <c r="AA95" s="160">
        <f t="shared" si="89"/>
        <v>90.20917427832453</v>
      </c>
      <c r="AB95" s="119">
        <f t="shared" si="90"/>
        <v>90.20917427832453</v>
      </c>
      <c r="AC95" s="120">
        <f t="shared" si="91"/>
        <v>-0.0036507717575345548</v>
      </c>
      <c r="AD95" s="120">
        <f t="shared" si="92"/>
        <v>0.05220846848393209</v>
      </c>
      <c r="AE95" s="120">
        <f t="shared" si="93"/>
        <v>0.9986295347545739</v>
      </c>
      <c r="AF95" s="121">
        <f t="shared" si="94"/>
        <v>89.99999999999994</v>
      </c>
      <c r="AG95" s="119">
        <f t="shared" si="95"/>
        <v>87.00000000000009</v>
      </c>
      <c r="AH95" s="122">
        <f t="shared" si="96"/>
        <v>-1.1105083657856012E-06</v>
      </c>
      <c r="AI95" s="151">
        <v>31</v>
      </c>
      <c r="AJ95" s="153">
        <v>77</v>
      </c>
      <c r="AK95" s="151">
        <v>92.1</v>
      </c>
      <c r="AL95" s="152">
        <v>-56.7</v>
      </c>
      <c r="AM95" s="159">
        <f t="shared" si="97"/>
        <v>173.90000000000003</v>
      </c>
      <c r="AN95" s="149">
        <f t="shared" si="98"/>
        <v>83.90000000000003</v>
      </c>
      <c r="AO95" s="115">
        <f t="shared" si="99"/>
        <v>87.00729454858437</v>
      </c>
      <c r="AP95" s="121"/>
      <c r="AQ95" s="161"/>
      <c r="AR95" s="121"/>
      <c r="AS95" s="162"/>
      <c r="AT95" s="163"/>
    </row>
    <row r="96" spans="1:46" ht="15">
      <c r="A96" s="151" t="s">
        <v>45</v>
      </c>
      <c r="B96" s="152" t="s">
        <v>99</v>
      </c>
      <c r="C96" s="152">
        <v>12</v>
      </c>
      <c r="D96" s="153">
        <v>2</v>
      </c>
      <c r="E96" s="151" t="s">
        <v>47</v>
      </c>
      <c r="F96" s="152" t="s">
        <v>106</v>
      </c>
      <c r="G96" s="154">
        <f t="shared" si="100"/>
        <v>613.0100000000001</v>
      </c>
      <c r="H96" s="154">
        <f t="shared" si="100"/>
        <v>613.4200000000001</v>
      </c>
      <c r="I96" s="109">
        <f t="shared" si="55"/>
        <v>613.2150000000001</v>
      </c>
      <c r="J96" s="155">
        <v>32</v>
      </c>
      <c r="K96" s="156">
        <v>73</v>
      </c>
      <c r="L96" s="153">
        <f t="shared" si="56"/>
        <v>52.5</v>
      </c>
      <c r="M96" s="151">
        <v>270</v>
      </c>
      <c r="N96" s="152">
        <v>1</v>
      </c>
      <c r="O96" s="152">
        <v>347</v>
      </c>
      <c r="P96" s="152">
        <v>0</v>
      </c>
      <c r="Q96" s="152"/>
      <c r="R96" s="153"/>
      <c r="S96" s="157">
        <f t="shared" si="81"/>
        <v>0.003925937228904589</v>
      </c>
      <c r="T96" s="158">
        <f t="shared" si="82"/>
        <v>0.01700510239095419</v>
      </c>
      <c r="U96" s="158">
        <f t="shared" si="83"/>
        <v>0.974221663504901</v>
      </c>
      <c r="V96" s="149">
        <f t="shared" si="84"/>
        <v>76.99999999999999</v>
      </c>
      <c r="W96" s="115">
        <f t="shared" si="85"/>
        <v>88.97370144622197</v>
      </c>
      <c r="X96" s="159">
        <f t="shared" si="86"/>
        <v>257</v>
      </c>
      <c r="Y96" s="149">
        <f t="shared" si="87"/>
        <v>167</v>
      </c>
      <c r="Z96" s="115">
        <f t="shared" si="88"/>
        <v>1.0262985537780338</v>
      </c>
      <c r="AA96" s="160">
        <f t="shared" si="89"/>
        <v>102.99798535428255</v>
      </c>
      <c r="AB96" s="119">
        <f t="shared" si="90"/>
        <v>102.99798535428255</v>
      </c>
      <c r="AC96" s="120">
        <f t="shared" si="91"/>
        <v>-0.22491679320871313</v>
      </c>
      <c r="AD96" s="120">
        <f t="shared" si="92"/>
        <v>0.9742216635049011</v>
      </c>
      <c r="AE96" s="120">
        <f t="shared" si="93"/>
        <v>0.017452406437279733</v>
      </c>
      <c r="AF96" s="121">
        <f t="shared" si="94"/>
        <v>270</v>
      </c>
      <c r="AG96" s="119">
        <f t="shared" si="95"/>
        <v>0.9999999999997836</v>
      </c>
      <c r="AH96" s="122">
        <f t="shared" si="96"/>
        <v>-1.1957236367164588E-06</v>
      </c>
      <c r="AI96" s="151">
        <v>31</v>
      </c>
      <c r="AJ96" s="153">
        <v>77</v>
      </c>
      <c r="AK96" s="151">
        <v>92.1</v>
      </c>
      <c r="AL96" s="152">
        <v>-56.7</v>
      </c>
      <c r="AM96" s="159">
        <f t="shared" si="97"/>
        <v>344.9</v>
      </c>
      <c r="AN96" s="149">
        <f t="shared" si="98"/>
        <v>254.89999999999998</v>
      </c>
      <c r="AO96" s="115">
        <f t="shared" si="99"/>
        <v>1.0262985537780338</v>
      </c>
      <c r="AP96" s="121"/>
      <c r="AQ96" s="161"/>
      <c r="AR96" s="121"/>
      <c r="AS96" s="162"/>
      <c r="AT96" s="163"/>
    </row>
    <row r="97" spans="1:46" ht="15">
      <c r="A97" s="151" t="s">
        <v>45</v>
      </c>
      <c r="B97" s="152" t="s">
        <v>99</v>
      </c>
      <c r="C97" s="152">
        <v>12</v>
      </c>
      <c r="D97" s="153">
        <v>2</v>
      </c>
      <c r="E97" s="151" t="s">
        <v>47</v>
      </c>
      <c r="F97" s="152" t="s">
        <v>105</v>
      </c>
      <c r="G97" s="154">
        <f t="shared" si="100"/>
        <v>613.37</v>
      </c>
      <c r="H97" s="154">
        <f t="shared" si="100"/>
        <v>613.47</v>
      </c>
      <c r="I97" s="109">
        <f t="shared" si="55"/>
        <v>613.4200000000001</v>
      </c>
      <c r="J97" s="155">
        <v>68</v>
      </c>
      <c r="K97" s="156">
        <v>78</v>
      </c>
      <c r="L97" s="153">
        <f t="shared" si="56"/>
        <v>73</v>
      </c>
      <c r="M97" s="151">
        <v>270</v>
      </c>
      <c r="N97" s="152">
        <v>68</v>
      </c>
      <c r="O97" s="152">
        <v>340</v>
      </c>
      <c r="P97" s="152">
        <v>0</v>
      </c>
      <c r="Q97" s="152"/>
      <c r="R97" s="153"/>
      <c r="S97" s="157">
        <f t="shared" si="81"/>
        <v>0.3171155548281785</v>
      </c>
      <c r="T97" s="158">
        <f t="shared" si="82"/>
        <v>0.8712678262482451</v>
      </c>
      <c r="U97" s="158">
        <f t="shared" si="83"/>
        <v>0.3520150515306795</v>
      </c>
      <c r="V97" s="149">
        <f t="shared" si="84"/>
        <v>70</v>
      </c>
      <c r="W97" s="115">
        <f t="shared" si="85"/>
        <v>20.789789764136923</v>
      </c>
      <c r="X97" s="159">
        <f t="shared" si="86"/>
        <v>250</v>
      </c>
      <c r="Y97" s="149">
        <f t="shared" si="87"/>
        <v>160</v>
      </c>
      <c r="Z97" s="115">
        <f t="shared" si="88"/>
        <v>69.21021023586307</v>
      </c>
      <c r="AA97" s="160">
        <f t="shared" si="89"/>
        <v>97.36114114408399</v>
      </c>
      <c r="AB97" s="119">
        <f t="shared" si="90"/>
        <v>97.36114114408399</v>
      </c>
      <c r="AC97" s="120">
        <f t="shared" si="91"/>
        <v>-0.12812300077085084</v>
      </c>
      <c r="AD97" s="120">
        <f t="shared" si="92"/>
        <v>0.35201505153067947</v>
      </c>
      <c r="AE97" s="120">
        <f t="shared" si="93"/>
        <v>0.9271838545667874</v>
      </c>
      <c r="AF97" s="121">
        <f t="shared" si="94"/>
        <v>270</v>
      </c>
      <c r="AG97" s="119">
        <f t="shared" si="95"/>
        <v>68</v>
      </c>
      <c r="AH97" s="122">
        <f t="shared" si="96"/>
        <v>-3.618498362765566E-05</v>
      </c>
      <c r="AI97" s="151">
        <v>31</v>
      </c>
      <c r="AJ97" s="153">
        <v>77</v>
      </c>
      <c r="AK97" s="151">
        <v>92.1</v>
      </c>
      <c r="AL97" s="152">
        <v>-56.7</v>
      </c>
      <c r="AM97" s="159">
        <f t="shared" si="97"/>
        <v>337.9</v>
      </c>
      <c r="AN97" s="149">
        <f t="shared" si="98"/>
        <v>247.89999999999998</v>
      </c>
      <c r="AO97" s="115">
        <f t="shared" si="99"/>
        <v>69.21021023586307</v>
      </c>
      <c r="AP97" s="121"/>
      <c r="AQ97" s="161"/>
      <c r="AR97" s="121"/>
      <c r="AS97" s="162"/>
      <c r="AT97" s="163"/>
    </row>
    <row r="98" spans="1:46" ht="15">
      <c r="A98" s="151" t="s">
        <v>45</v>
      </c>
      <c r="B98" s="152" t="s">
        <v>99</v>
      </c>
      <c r="C98" s="152">
        <v>12</v>
      </c>
      <c r="D98" s="153">
        <v>2</v>
      </c>
      <c r="E98" s="151" t="s">
        <v>47</v>
      </c>
      <c r="F98" s="152" t="s">
        <v>105</v>
      </c>
      <c r="G98" s="154">
        <f t="shared" si="100"/>
        <v>613.6300000000001</v>
      </c>
      <c r="H98" s="154">
        <f t="shared" si="100"/>
        <v>613.8000000000001</v>
      </c>
      <c r="I98" s="109">
        <f t="shared" si="55"/>
        <v>613.7150000000001</v>
      </c>
      <c r="J98" s="155">
        <v>94</v>
      </c>
      <c r="K98" s="156">
        <v>111</v>
      </c>
      <c r="L98" s="153">
        <f t="shared" si="56"/>
        <v>102.5</v>
      </c>
      <c r="M98" s="151">
        <v>90</v>
      </c>
      <c r="N98" s="152">
        <v>75</v>
      </c>
      <c r="O98" s="152">
        <v>347</v>
      </c>
      <c r="P98" s="152">
        <v>0</v>
      </c>
      <c r="Q98" s="152"/>
      <c r="R98" s="153"/>
      <c r="S98" s="157">
        <f t="shared" si="81"/>
        <v>0.21728603304169525</v>
      </c>
      <c r="T98" s="158">
        <f t="shared" si="82"/>
        <v>0.9411692099390113</v>
      </c>
      <c r="U98" s="158">
        <f t="shared" si="83"/>
        <v>-0.25218552974419584</v>
      </c>
      <c r="V98" s="149">
        <f t="shared" si="84"/>
        <v>76.99999999999999</v>
      </c>
      <c r="W98" s="115">
        <f t="shared" si="85"/>
        <v>-14.632251882658752</v>
      </c>
      <c r="X98" s="159">
        <f t="shared" si="86"/>
        <v>76.99999999999999</v>
      </c>
      <c r="Y98" s="149">
        <f t="shared" si="87"/>
        <v>347</v>
      </c>
      <c r="Z98" s="115">
        <f t="shared" si="88"/>
        <v>75.36774811734125</v>
      </c>
      <c r="AA98" s="160">
        <f t="shared" si="89"/>
        <v>93.33774043735046</v>
      </c>
      <c r="AB98" s="119">
        <f t="shared" si="90"/>
        <v>93.33774043735046</v>
      </c>
      <c r="AC98" s="120">
        <f t="shared" si="91"/>
        <v>-0.05822161708008471</v>
      </c>
      <c r="AD98" s="120">
        <f t="shared" si="92"/>
        <v>0.2521855297441958</v>
      </c>
      <c r="AE98" s="120">
        <f t="shared" si="93"/>
        <v>0.9659258262890683</v>
      </c>
      <c r="AF98" s="121">
        <f t="shared" si="94"/>
        <v>90.00000000000007</v>
      </c>
      <c r="AG98" s="119">
        <f t="shared" si="95"/>
        <v>75.00000000000001</v>
      </c>
      <c r="AH98" s="122">
        <f t="shared" si="96"/>
        <v>-1.7130188029096786E-05</v>
      </c>
      <c r="AI98" s="151">
        <v>94</v>
      </c>
      <c r="AJ98" s="153">
        <v>111</v>
      </c>
      <c r="AK98" s="151">
        <v>256.7</v>
      </c>
      <c r="AL98" s="152">
        <v>-26.7</v>
      </c>
      <c r="AM98" s="159">
        <f t="shared" si="97"/>
        <v>0.30000000000001137</v>
      </c>
      <c r="AN98" s="149">
        <f t="shared" si="98"/>
        <v>270.3</v>
      </c>
      <c r="AO98" s="115">
        <f t="shared" si="99"/>
        <v>75.36774811734125</v>
      </c>
      <c r="AP98" s="121"/>
      <c r="AQ98" s="161"/>
      <c r="AR98" s="121"/>
      <c r="AS98" s="162"/>
      <c r="AT98" s="163"/>
    </row>
    <row r="99" spans="1:46" ht="15">
      <c r="A99" s="151" t="s">
        <v>45</v>
      </c>
      <c r="B99" s="152" t="s">
        <v>99</v>
      </c>
      <c r="C99" s="152">
        <v>12</v>
      </c>
      <c r="D99" s="153">
        <v>2</v>
      </c>
      <c r="E99" s="151" t="s">
        <v>47</v>
      </c>
      <c r="F99" s="152" t="s">
        <v>105</v>
      </c>
      <c r="G99" s="154">
        <f t="shared" si="100"/>
        <v>613.6300000000001</v>
      </c>
      <c r="H99" s="154">
        <f t="shared" si="100"/>
        <v>613.8000000000001</v>
      </c>
      <c r="I99" s="109">
        <f aca="true" t="shared" si="101" ref="I99:I130">(G99+H99)/2</f>
        <v>613.7150000000001</v>
      </c>
      <c r="J99" s="155">
        <v>94</v>
      </c>
      <c r="K99" s="156">
        <v>111</v>
      </c>
      <c r="L99" s="153">
        <f aca="true" t="shared" si="102" ref="L99:L130">(+J99+K99)/2</f>
        <v>102.5</v>
      </c>
      <c r="M99" s="151">
        <v>90</v>
      </c>
      <c r="N99" s="152">
        <v>79</v>
      </c>
      <c r="O99" s="152">
        <v>340</v>
      </c>
      <c r="P99" s="152">
        <v>0</v>
      </c>
      <c r="Q99" s="152"/>
      <c r="R99" s="153"/>
      <c r="S99" s="157">
        <f t="shared" si="81"/>
        <v>0.33573626997514244</v>
      </c>
      <c r="T99" s="158">
        <f t="shared" si="82"/>
        <v>0.922427820648625</v>
      </c>
      <c r="U99" s="158">
        <f t="shared" si="83"/>
        <v>-0.17930180493491177</v>
      </c>
      <c r="V99" s="149">
        <f t="shared" si="84"/>
        <v>70</v>
      </c>
      <c r="W99" s="115">
        <f t="shared" si="85"/>
        <v>-10.351403536837584</v>
      </c>
      <c r="X99" s="159">
        <f t="shared" si="86"/>
        <v>70</v>
      </c>
      <c r="Y99" s="149">
        <f t="shared" si="87"/>
        <v>340</v>
      </c>
      <c r="Z99" s="115">
        <f t="shared" si="88"/>
        <v>79.64859646316242</v>
      </c>
      <c r="AA99" s="160">
        <f t="shared" si="89"/>
        <v>93.74181159616839</v>
      </c>
      <c r="AB99" s="119">
        <f t="shared" si="90"/>
        <v>93.74181159616839</v>
      </c>
      <c r="AC99" s="120">
        <f t="shared" si="91"/>
        <v>-0.06526051994651276</v>
      </c>
      <c r="AD99" s="120">
        <f t="shared" si="92"/>
        <v>0.17930180493491188</v>
      </c>
      <c r="AE99" s="120">
        <f t="shared" si="93"/>
        <v>0.9816271834476639</v>
      </c>
      <c r="AF99" s="121">
        <f t="shared" si="94"/>
        <v>90</v>
      </c>
      <c r="AG99" s="119">
        <f t="shared" si="95"/>
        <v>78.99999999999997</v>
      </c>
      <c r="AH99" s="122">
        <f t="shared" si="96"/>
        <v>-1.9513290090379043E-05</v>
      </c>
      <c r="AI99" s="151">
        <v>94</v>
      </c>
      <c r="AJ99" s="153">
        <v>111</v>
      </c>
      <c r="AK99" s="151">
        <v>256.7</v>
      </c>
      <c r="AL99" s="152">
        <v>-26.7</v>
      </c>
      <c r="AM99" s="159">
        <f t="shared" si="97"/>
        <v>353.3</v>
      </c>
      <c r="AN99" s="149">
        <f t="shared" si="98"/>
        <v>263.3</v>
      </c>
      <c r="AO99" s="115">
        <f t="shared" si="99"/>
        <v>79.64859646316242</v>
      </c>
      <c r="AP99" s="121"/>
      <c r="AQ99" s="161"/>
      <c r="AR99" s="121"/>
      <c r="AS99" s="162"/>
      <c r="AT99" s="163"/>
    </row>
    <row r="100" spans="1:46" ht="15">
      <c r="A100" s="151" t="s">
        <v>45</v>
      </c>
      <c r="B100" s="152" t="s">
        <v>99</v>
      </c>
      <c r="C100" s="152">
        <v>12</v>
      </c>
      <c r="D100" s="153">
        <v>2</v>
      </c>
      <c r="E100" s="151" t="s">
        <v>47</v>
      </c>
      <c r="F100" s="152" t="s">
        <v>105</v>
      </c>
      <c r="G100" s="154">
        <f t="shared" si="100"/>
        <v>613.6300000000001</v>
      </c>
      <c r="H100" s="154">
        <f t="shared" si="100"/>
        <v>613.8000000000001</v>
      </c>
      <c r="I100" s="109">
        <f t="shared" si="101"/>
        <v>613.7150000000001</v>
      </c>
      <c r="J100" s="155">
        <v>94</v>
      </c>
      <c r="K100" s="156">
        <v>111</v>
      </c>
      <c r="L100" s="153">
        <f t="shared" si="102"/>
        <v>102.5</v>
      </c>
      <c r="M100" s="151">
        <v>90</v>
      </c>
      <c r="N100" s="152">
        <v>78</v>
      </c>
      <c r="O100" s="152">
        <v>342</v>
      </c>
      <c r="P100" s="152">
        <v>0</v>
      </c>
      <c r="Q100" s="152"/>
      <c r="R100" s="153"/>
      <c r="S100" s="157">
        <f t="shared" si="81"/>
        <v>0.30226423163382693</v>
      </c>
      <c r="T100" s="158">
        <f t="shared" si="82"/>
        <v>0.9302736495763559</v>
      </c>
      <c r="U100" s="158">
        <f t="shared" si="83"/>
        <v>-0.19773576836617338</v>
      </c>
      <c r="V100" s="149">
        <f t="shared" si="84"/>
        <v>71.99999999999999</v>
      </c>
      <c r="W100" s="115">
        <f t="shared" si="85"/>
        <v>-11.428513178846762</v>
      </c>
      <c r="X100" s="159">
        <f t="shared" si="86"/>
        <v>71.99999999999999</v>
      </c>
      <c r="Y100" s="149">
        <f t="shared" si="87"/>
        <v>342</v>
      </c>
      <c r="Z100" s="115">
        <f t="shared" si="88"/>
        <v>78.57148682115324</v>
      </c>
      <c r="AA100" s="160">
        <f t="shared" si="89"/>
        <v>93.6836905743723</v>
      </c>
      <c r="AB100" s="119">
        <f t="shared" si="90"/>
        <v>93.6836905743723</v>
      </c>
      <c r="AC100" s="120">
        <f t="shared" si="91"/>
        <v>-0.0642482457919176</v>
      </c>
      <c r="AD100" s="120">
        <f t="shared" si="92"/>
        <v>0.19773576836617343</v>
      </c>
      <c r="AE100" s="120">
        <f t="shared" si="93"/>
        <v>0.9781476007338056</v>
      </c>
      <c r="AF100" s="121">
        <f t="shared" si="94"/>
        <v>90.00000000000006</v>
      </c>
      <c r="AG100" s="119">
        <f t="shared" si="95"/>
        <v>77.99999999999999</v>
      </c>
      <c r="AH100" s="122">
        <f t="shared" si="96"/>
        <v>-1.9142524715452353E-05</v>
      </c>
      <c r="AI100" s="151">
        <v>94</v>
      </c>
      <c r="AJ100" s="153">
        <v>111</v>
      </c>
      <c r="AK100" s="151">
        <v>256.7</v>
      </c>
      <c r="AL100" s="152">
        <v>-26.7</v>
      </c>
      <c r="AM100" s="159">
        <f t="shared" si="97"/>
        <v>355.3</v>
      </c>
      <c r="AN100" s="149">
        <f t="shared" si="98"/>
        <v>265.3</v>
      </c>
      <c r="AO100" s="115">
        <f t="shared" si="99"/>
        <v>78.57148682115324</v>
      </c>
      <c r="AP100" s="121"/>
      <c r="AQ100" s="161"/>
      <c r="AR100" s="121"/>
      <c r="AS100" s="162"/>
      <c r="AT100" s="163"/>
    </row>
    <row r="101" spans="1:46" ht="15">
      <c r="A101" s="151" t="s">
        <v>45</v>
      </c>
      <c r="B101" s="152" t="s">
        <v>99</v>
      </c>
      <c r="C101" s="152">
        <v>12</v>
      </c>
      <c r="D101" s="153">
        <v>4</v>
      </c>
      <c r="E101" s="151" t="s">
        <v>47</v>
      </c>
      <c r="F101" s="152" t="s">
        <v>106</v>
      </c>
      <c r="G101" s="154">
        <f aca="true" t="shared" si="103" ref="G101:H106">J101/100+614.05</f>
        <v>614.68</v>
      </c>
      <c r="H101" s="154">
        <f t="shared" si="103"/>
        <v>614.79</v>
      </c>
      <c r="I101" s="109">
        <f t="shared" si="101"/>
        <v>614.7349999999999</v>
      </c>
      <c r="J101" s="155">
        <v>63</v>
      </c>
      <c r="K101" s="156">
        <v>74</v>
      </c>
      <c r="L101" s="153">
        <f t="shared" si="102"/>
        <v>68.5</v>
      </c>
      <c r="M101" s="151">
        <v>270</v>
      </c>
      <c r="N101" s="152">
        <v>78</v>
      </c>
      <c r="O101" s="152">
        <v>315</v>
      </c>
      <c r="P101" s="152">
        <v>0</v>
      </c>
      <c r="Q101" s="152"/>
      <c r="R101" s="153"/>
      <c r="S101" s="157">
        <f t="shared" si="81"/>
        <v>0.6916548014802256</v>
      </c>
      <c r="T101" s="158">
        <f t="shared" si="82"/>
        <v>0.6916548014802253</v>
      </c>
      <c r="U101" s="158">
        <f t="shared" si="83"/>
        <v>0.14701576646519854</v>
      </c>
      <c r="V101" s="149">
        <f t="shared" si="84"/>
        <v>44.999999999999986</v>
      </c>
      <c r="W101" s="115">
        <f t="shared" si="85"/>
        <v>8.547585796906946</v>
      </c>
      <c r="X101" s="159">
        <f t="shared" si="86"/>
        <v>225</v>
      </c>
      <c r="Y101" s="149">
        <f t="shared" si="87"/>
        <v>135</v>
      </c>
      <c r="Z101" s="115">
        <f t="shared" si="88"/>
        <v>81.45241420309306</v>
      </c>
      <c r="AA101" s="160">
        <f t="shared" si="89"/>
        <v>98.45402523874989</v>
      </c>
      <c r="AB101" s="119">
        <f t="shared" si="90"/>
        <v>98.45402523874989</v>
      </c>
      <c r="AC101" s="120">
        <f t="shared" si="91"/>
        <v>-0.1470157664651986</v>
      </c>
      <c r="AD101" s="120">
        <f t="shared" si="92"/>
        <v>0.1470157664651985</v>
      </c>
      <c r="AE101" s="120">
        <f t="shared" si="93"/>
        <v>0.9781476007338056</v>
      </c>
      <c r="AF101" s="121">
        <f t="shared" si="94"/>
        <v>270</v>
      </c>
      <c r="AG101" s="119">
        <f t="shared" si="95"/>
        <v>77.99999999999999</v>
      </c>
      <c r="AH101" s="122">
        <f t="shared" si="96"/>
        <v>-4.3802759283002965E-05</v>
      </c>
      <c r="AI101" s="151">
        <v>63</v>
      </c>
      <c r="AJ101" s="153">
        <v>117</v>
      </c>
      <c r="AK101" s="151">
        <v>74.9</v>
      </c>
      <c r="AL101" s="152">
        <v>-35.2</v>
      </c>
      <c r="AM101" s="159">
        <f t="shared" si="97"/>
        <v>330.1</v>
      </c>
      <c r="AN101" s="149">
        <f t="shared" si="98"/>
        <v>240.10000000000002</v>
      </c>
      <c r="AO101" s="115">
        <f t="shared" si="99"/>
        <v>81.45241420309306</v>
      </c>
      <c r="AP101" s="121"/>
      <c r="AQ101" s="161"/>
      <c r="AR101" s="121"/>
      <c r="AS101" s="162"/>
      <c r="AT101" s="163"/>
    </row>
    <row r="102" spans="1:46" ht="15">
      <c r="A102" s="151" t="s">
        <v>45</v>
      </c>
      <c r="B102" s="152" t="s">
        <v>99</v>
      </c>
      <c r="C102" s="152">
        <v>12</v>
      </c>
      <c r="D102" s="153">
        <v>4</v>
      </c>
      <c r="E102" s="151" t="s">
        <v>48</v>
      </c>
      <c r="F102" s="152"/>
      <c r="G102" s="154">
        <f t="shared" si="103"/>
        <v>614.8199999999999</v>
      </c>
      <c r="H102" s="154">
        <f t="shared" si="103"/>
        <v>614.8199999999999</v>
      </c>
      <c r="I102" s="109">
        <f t="shared" si="101"/>
        <v>614.8199999999999</v>
      </c>
      <c r="J102" s="155">
        <v>77</v>
      </c>
      <c r="K102" s="156">
        <v>77</v>
      </c>
      <c r="L102" s="153">
        <f t="shared" si="102"/>
        <v>77</v>
      </c>
      <c r="M102" s="151">
        <v>270</v>
      </c>
      <c r="N102" s="152">
        <v>1</v>
      </c>
      <c r="O102" s="152">
        <v>0</v>
      </c>
      <c r="P102" s="152">
        <v>2</v>
      </c>
      <c r="Q102" s="152"/>
      <c r="R102" s="153"/>
      <c r="S102" s="157">
        <f t="shared" si="81"/>
        <v>-0.03489418134011367</v>
      </c>
      <c r="T102" s="158">
        <f t="shared" si="82"/>
        <v>0.017441774902830165</v>
      </c>
      <c r="U102" s="158">
        <f t="shared" si="83"/>
        <v>0.9992386149554826</v>
      </c>
      <c r="V102" s="149">
        <f t="shared" si="84"/>
        <v>153.4419319834189</v>
      </c>
      <c r="W102" s="115">
        <f t="shared" si="85"/>
        <v>87.76429506217737</v>
      </c>
      <c r="X102" s="159">
        <f t="shared" si="86"/>
        <v>333.4419319834189</v>
      </c>
      <c r="Y102" s="149">
        <f t="shared" si="87"/>
        <v>243.4419319834189</v>
      </c>
      <c r="Z102" s="115">
        <f t="shared" si="88"/>
        <v>2.235704937822632</v>
      </c>
      <c r="AA102" s="160">
        <f t="shared" si="89"/>
        <v>26.575520867541655</v>
      </c>
      <c r="AB102" s="119">
        <f t="shared" si="90"/>
        <v>26.575520867541655</v>
      </c>
      <c r="AC102" s="120">
        <f t="shared" si="91"/>
        <v>0.8943454564723706</v>
      </c>
      <c r="AD102" s="120">
        <f t="shared" si="92"/>
        <v>0.44703648396610174</v>
      </c>
      <c r="AE102" s="120">
        <f t="shared" si="93"/>
        <v>0.01745240643728497</v>
      </c>
      <c r="AF102" s="121">
        <f t="shared" si="94"/>
        <v>270</v>
      </c>
      <c r="AG102" s="119">
        <f t="shared" si="95"/>
        <v>1.0000000000000835</v>
      </c>
      <c r="AH102" s="122">
        <f t="shared" si="96"/>
        <v>4.754421879070853E-06</v>
      </c>
      <c r="AI102" s="151">
        <v>63</v>
      </c>
      <c r="AJ102" s="153">
        <v>117</v>
      </c>
      <c r="AK102" s="151">
        <v>74.9</v>
      </c>
      <c r="AL102" s="152">
        <v>-35.2</v>
      </c>
      <c r="AM102" s="159">
        <f t="shared" si="97"/>
        <v>78.54193198341886</v>
      </c>
      <c r="AN102" s="149">
        <f t="shared" si="98"/>
        <v>348.54193198341886</v>
      </c>
      <c r="AO102" s="115">
        <f t="shared" si="99"/>
        <v>2.235704937822632</v>
      </c>
      <c r="AP102" s="121"/>
      <c r="AQ102" s="161"/>
      <c r="AR102" s="121"/>
      <c r="AS102" s="162"/>
      <c r="AT102" s="163"/>
    </row>
    <row r="103" spans="1:46" ht="15">
      <c r="A103" s="151" t="s">
        <v>45</v>
      </c>
      <c r="B103" s="152" t="s">
        <v>99</v>
      </c>
      <c r="C103" s="152">
        <v>12</v>
      </c>
      <c r="D103" s="153">
        <v>4</v>
      </c>
      <c r="E103" s="151" t="s">
        <v>112</v>
      </c>
      <c r="F103" s="152"/>
      <c r="G103" s="154">
        <f t="shared" si="103"/>
        <v>614.8499999999999</v>
      </c>
      <c r="H103" s="154">
        <f t="shared" si="103"/>
        <v>614.9</v>
      </c>
      <c r="I103" s="109">
        <f t="shared" si="101"/>
        <v>614.875</v>
      </c>
      <c r="J103" s="155">
        <v>80</v>
      </c>
      <c r="K103" s="156">
        <v>85</v>
      </c>
      <c r="L103" s="153">
        <f t="shared" si="102"/>
        <v>82.5</v>
      </c>
      <c r="M103" s="151">
        <v>270</v>
      </c>
      <c r="N103" s="152">
        <v>42</v>
      </c>
      <c r="O103" s="152">
        <v>355</v>
      </c>
      <c r="P103" s="152">
        <v>0</v>
      </c>
      <c r="Q103" s="152"/>
      <c r="R103" s="153"/>
      <c r="S103" s="157">
        <f t="shared" si="81"/>
        <v>0.058318574992397273</v>
      </c>
      <c r="T103" s="158">
        <f t="shared" si="82"/>
        <v>0.6665843623856094</v>
      </c>
      <c r="U103" s="158">
        <f t="shared" si="83"/>
        <v>0.7403169350548957</v>
      </c>
      <c r="V103" s="149">
        <f t="shared" si="84"/>
        <v>85</v>
      </c>
      <c r="W103" s="115">
        <f t="shared" si="85"/>
        <v>47.89135512907981</v>
      </c>
      <c r="X103" s="159">
        <f t="shared" si="86"/>
        <v>265</v>
      </c>
      <c r="Y103" s="149">
        <f t="shared" si="87"/>
        <v>175</v>
      </c>
      <c r="Z103" s="115">
        <f t="shared" si="88"/>
        <v>42.10864487092019</v>
      </c>
      <c r="AA103" s="160">
        <f t="shared" si="89"/>
        <v>93.71360934630646</v>
      </c>
      <c r="AB103" s="119">
        <f t="shared" si="90"/>
        <v>93.71360934630646</v>
      </c>
      <c r="AC103" s="120">
        <f t="shared" si="91"/>
        <v>-0.06476933923356148</v>
      </c>
      <c r="AD103" s="120">
        <f t="shared" si="92"/>
        <v>0.7403169350548956</v>
      </c>
      <c r="AE103" s="120">
        <f t="shared" si="93"/>
        <v>0.6691306063588582</v>
      </c>
      <c r="AF103" s="121">
        <f t="shared" si="94"/>
        <v>270</v>
      </c>
      <c r="AG103" s="119">
        <f t="shared" si="95"/>
        <v>42.000000000000014</v>
      </c>
      <c r="AH103" s="122">
        <f t="shared" si="96"/>
        <v>-1.3201556300666913E-05</v>
      </c>
      <c r="AI103" s="151">
        <v>63</v>
      </c>
      <c r="AJ103" s="153">
        <v>117</v>
      </c>
      <c r="AK103" s="151">
        <v>74.9</v>
      </c>
      <c r="AL103" s="152">
        <v>-35.2</v>
      </c>
      <c r="AM103" s="159">
        <f t="shared" si="97"/>
        <v>10.099999999999994</v>
      </c>
      <c r="AN103" s="149">
        <f t="shared" si="98"/>
        <v>280.1</v>
      </c>
      <c r="AO103" s="115">
        <f t="shared" si="99"/>
        <v>42.10864487092019</v>
      </c>
      <c r="AP103" s="121"/>
      <c r="AQ103" s="161"/>
      <c r="AR103" s="121"/>
      <c r="AS103" s="162"/>
      <c r="AT103" s="163"/>
    </row>
    <row r="104" spans="1:46" ht="15">
      <c r="A104" s="151" t="s">
        <v>45</v>
      </c>
      <c r="B104" s="152" t="s">
        <v>99</v>
      </c>
      <c r="C104" s="152">
        <v>12</v>
      </c>
      <c r="D104" s="153">
        <v>4</v>
      </c>
      <c r="E104" s="151" t="s">
        <v>47</v>
      </c>
      <c r="F104" s="152" t="s">
        <v>106</v>
      </c>
      <c r="G104" s="154">
        <f t="shared" si="103"/>
        <v>614.88</v>
      </c>
      <c r="H104" s="154">
        <f t="shared" si="103"/>
        <v>614.93</v>
      </c>
      <c r="I104" s="109">
        <f t="shared" si="101"/>
        <v>614.905</v>
      </c>
      <c r="J104" s="155">
        <v>83</v>
      </c>
      <c r="K104" s="156">
        <v>88</v>
      </c>
      <c r="L104" s="153">
        <f t="shared" si="102"/>
        <v>85.5</v>
      </c>
      <c r="M104" s="151">
        <v>90</v>
      </c>
      <c r="N104" s="152">
        <v>80</v>
      </c>
      <c r="O104" s="152">
        <v>325</v>
      </c>
      <c r="P104" s="152">
        <v>0</v>
      </c>
      <c r="Q104" s="152"/>
      <c r="R104" s="153"/>
      <c r="S104" s="157">
        <f t="shared" si="81"/>
        <v>0.5648625214636238</v>
      </c>
      <c r="T104" s="158">
        <f t="shared" si="82"/>
        <v>0.8067072841115985</v>
      </c>
      <c r="U104" s="158">
        <f t="shared" si="83"/>
        <v>-0.14224425972292407</v>
      </c>
      <c r="V104" s="149">
        <f t="shared" si="84"/>
        <v>54.999999999999986</v>
      </c>
      <c r="W104" s="115">
        <f t="shared" si="85"/>
        <v>-8.218881607097414</v>
      </c>
      <c r="X104" s="159">
        <f t="shared" si="86"/>
        <v>54.999999999999986</v>
      </c>
      <c r="Y104" s="149">
        <f t="shared" si="87"/>
        <v>325</v>
      </c>
      <c r="Z104" s="115">
        <f t="shared" si="88"/>
        <v>81.78111839290258</v>
      </c>
      <c r="AA104" s="160">
        <f t="shared" si="89"/>
        <v>95.71616613141308</v>
      </c>
      <c r="AB104" s="119">
        <f t="shared" si="90"/>
        <v>95.71616613141308</v>
      </c>
      <c r="AC104" s="120">
        <f t="shared" si="91"/>
        <v>-0.09960050292505111</v>
      </c>
      <c r="AD104" s="120">
        <f t="shared" si="92"/>
        <v>0.14224425972292404</v>
      </c>
      <c r="AE104" s="120">
        <f t="shared" si="93"/>
        <v>0.9848077530122081</v>
      </c>
      <c r="AF104" s="121">
        <f t="shared" si="94"/>
        <v>89.99999999999997</v>
      </c>
      <c r="AG104" s="119">
        <f t="shared" si="95"/>
        <v>80.00000000000003</v>
      </c>
      <c r="AH104" s="122">
        <f t="shared" si="96"/>
        <v>-2.9877628470219878E-05</v>
      </c>
      <c r="AI104" s="151">
        <v>63</v>
      </c>
      <c r="AJ104" s="153">
        <v>117</v>
      </c>
      <c r="AK104" s="151">
        <v>74.9</v>
      </c>
      <c r="AL104" s="152">
        <v>-35.2</v>
      </c>
      <c r="AM104" s="159">
        <f t="shared" si="97"/>
        <v>160.09999999999997</v>
      </c>
      <c r="AN104" s="149">
        <f t="shared" si="98"/>
        <v>70.09999999999997</v>
      </c>
      <c r="AO104" s="115">
        <f t="shared" si="99"/>
        <v>81.78111839290258</v>
      </c>
      <c r="AP104" s="121"/>
      <c r="AQ104" s="161"/>
      <c r="AR104" s="121"/>
      <c r="AS104" s="162"/>
      <c r="AT104" s="163"/>
    </row>
    <row r="105" spans="1:46" ht="15">
      <c r="A105" s="151" t="s">
        <v>45</v>
      </c>
      <c r="B105" s="152" t="s">
        <v>99</v>
      </c>
      <c r="C105" s="152">
        <v>12</v>
      </c>
      <c r="D105" s="153">
        <v>4</v>
      </c>
      <c r="E105" s="151" t="s">
        <v>47</v>
      </c>
      <c r="F105" s="152" t="s">
        <v>106</v>
      </c>
      <c r="G105" s="154">
        <f t="shared" si="103"/>
        <v>615.0799999999999</v>
      </c>
      <c r="H105" s="154">
        <f t="shared" si="103"/>
        <v>615.12</v>
      </c>
      <c r="I105" s="109">
        <f t="shared" si="101"/>
        <v>615.0999999999999</v>
      </c>
      <c r="J105" s="155">
        <v>103</v>
      </c>
      <c r="K105" s="156">
        <v>107</v>
      </c>
      <c r="L105" s="153">
        <f t="shared" si="102"/>
        <v>105</v>
      </c>
      <c r="M105" s="151">
        <v>270</v>
      </c>
      <c r="N105" s="152">
        <v>88</v>
      </c>
      <c r="O105" s="152">
        <v>60</v>
      </c>
      <c r="P105" s="152">
        <v>0</v>
      </c>
      <c r="Q105" s="152"/>
      <c r="R105" s="153"/>
      <c r="S105" s="157">
        <f t="shared" si="81"/>
        <v>-0.8654978445076764</v>
      </c>
      <c r="T105" s="158">
        <f t="shared" si="82"/>
        <v>0.499695413509548</v>
      </c>
      <c r="U105" s="158">
        <f t="shared" si="83"/>
        <v>0.017449748351250537</v>
      </c>
      <c r="V105" s="149">
        <f t="shared" si="84"/>
        <v>150</v>
      </c>
      <c r="W105" s="115">
        <f t="shared" si="85"/>
        <v>1.0003047102322917</v>
      </c>
      <c r="X105" s="159">
        <f t="shared" si="86"/>
        <v>330</v>
      </c>
      <c r="Y105" s="149">
        <f t="shared" si="87"/>
        <v>240</v>
      </c>
      <c r="Z105" s="115">
        <f t="shared" si="88"/>
        <v>88.99969528976771</v>
      </c>
      <c r="AA105" s="160">
        <f t="shared" si="89"/>
        <v>88.26803715871979</v>
      </c>
      <c r="AB105" s="119">
        <f t="shared" si="90"/>
        <v>88.26803715871979</v>
      </c>
      <c r="AC105" s="120">
        <f t="shared" si="91"/>
        <v>0.03022385072365712</v>
      </c>
      <c r="AD105" s="120">
        <f t="shared" si="92"/>
        <v>0.017449748351250655</v>
      </c>
      <c r="AE105" s="120">
        <f t="shared" si="93"/>
        <v>0.9993908270190958</v>
      </c>
      <c r="AF105" s="121">
        <f t="shared" si="94"/>
        <v>270.0000000000002</v>
      </c>
      <c r="AG105" s="119">
        <f t="shared" si="95"/>
        <v>88.00000000000006</v>
      </c>
      <c r="AH105" s="122">
        <f t="shared" si="96"/>
        <v>9.200635956936426E-06</v>
      </c>
      <c r="AI105" s="151">
        <v>63</v>
      </c>
      <c r="AJ105" s="153">
        <v>117</v>
      </c>
      <c r="AK105" s="151">
        <v>74.9</v>
      </c>
      <c r="AL105" s="152">
        <v>-35.2</v>
      </c>
      <c r="AM105" s="159">
        <f t="shared" si="97"/>
        <v>75.1</v>
      </c>
      <c r="AN105" s="149">
        <f t="shared" si="98"/>
        <v>345.1</v>
      </c>
      <c r="AO105" s="115">
        <f t="shared" si="99"/>
        <v>88.99969528976771</v>
      </c>
      <c r="AP105" s="121"/>
      <c r="AQ105" s="161"/>
      <c r="AR105" s="121"/>
      <c r="AS105" s="162"/>
      <c r="AT105" s="163"/>
    </row>
    <row r="106" spans="1:46" ht="15">
      <c r="A106" s="151" t="s">
        <v>45</v>
      </c>
      <c r="B106" s="152" t="s">
        <v>99</v>
      </c>
      <c r="C106" s="152">
        <v>12</v>
      </c>
      <c r="D106" s="153">
        <v>4</v>
      </c>
      <c r="E106" s="151" t="s">
        <v>47</v>
      </c>
      <c r="F106" s="152" t="s">
        <v>106</v>
      </c>
      <c r="G106" s="154">
        <f t="shared" si="103"/>
        <v>615.15</v>
      </c>
      <c r="H106" s="154">
        <f t="shared" si="103"/>
        <v>615.2199999999999</v>
      </c>
      <c r="I106" s="109">
        <f t="shared" si="101"/>
        <v>615.185</v>
      </c>
      <c r="J106" s="155">
        <v>110</v>
      </c>
      <c r="K106" s="156">
        <v>117</v>
      </c>
      <c r="L106" s="153">
        <f t="shared" si="102"/>
        <v>113.5</v>
      </c>
      <c r="M106" s="151">
        <v>270</v>
      </c>
      <c r="N106" s="152">
        <v>86</v>
      </c>
      <c r="O106" s="152">
        <v>60</v>
      </c>
      <c r="P106" s="152">
        <v>0</v>
      </c>
      <c r="Q106" s="152"/>
      <c r="R106" s="153"/>
      <c r="S106" s="157">
        <f t="shared" si="81"/>
        <v>-0.8639158094271042</v>
      </c>
      <c r="T106" s="158">
        <f t="shared" si="82"/>
        <v>0.4987820251299122</v>
      </c>
      <c r="U106" s="158">
        <f t="shared" si="83"/>
        <v>0.03487823687206272</v>
      </c>
      <c r="V106" s="149">
        <f t="shared" si="84"/>
        <v>150</v>
      </c>
      <c r="W106" s="115">
        <f t="shared" si="85"/>
        <v>2.0024399113488296</v>
      </c>
      <c r="X106" s="159">
        <f t="shared" si="86"/>
        <v>330</v>
      </c>
      <c r="Y106" s="149">
        <f t="shared" si="87"/>
        <v>240</v>
      </c>
      <c r="Z106" s="115">
        <f t="shared" si="88"/>
        <v>87.99756008865117</v>
      </c>
      <c r="AA106" s="160">
        <f t="shared" si="89"/>
        <v>86.53660285560522</v>
      </c>
      <c r="AB106" s="119">
        <f t="shared" si="90"/>
        <v>86.53660285560522</v>
      </c>
      <c r="AC106" s="120">
        <f t="shared" si="91"/>
        <v>0.06041087834083531</v>
      </c>
      <c r="AD106" s="120">
        <f t="shared" si="92"/>
        <v>0.03487823687206295</v>
      </c>
      <c r="AE106" s="120">
        <f t="shared" si="93"/>
        <v>0.9975640502598242</v>
      </c>
      <c r="AF106" s="121">
        <f t="shared" si="94"/>
        <v>269.99999999999994</v>
      </c>
      <c r="AG106" s="119">
        <f t="shared" si="95"/>
        <v>85.99999999999996</v>
      </c>
      <c r="AH106" s="122">
        <f t="shared" si="96"/>
        <v>1.8356448190339525E-05</v>
      </c>
      <c r="AI106" s="151">
        <v>63</v>
      </c>
      <c r="AJ106" s="153">
        <v>117</v>
      </c>
      <c r="AK106" s="151">
        <v>74.9</v>
      </c>
      <c r="AL106" s="152">
        <v>-35.2</v>
      </c>
      <c r="AM106" s="159">
        <f t="shared" si="97"/>
        <v>75.1</v>
      </c>
      <c r="AN106" s="149">
        <f t="shared" si="98"/>
        <v>345.1</v>
      </c>
      <c r="AO106" s="115">
        <f t="shared" si="99"/>
        <v>87.99756008865117</v>
      </c>
      <c r="AP106" s="121"/>
      <c r="AQ106" s="161"/>
      <c r="AR106" s="121"/>
      <c r="AS106" s="162"/>
      <c r="AT106" s="163"/>
    </row>
    <row r="107" spans="1:46" ht="15">
      <c r="A107" s="151" t="s">
        <v>45</v>
      </c>
      <c r="B107" s="152" t="s">
        <v>99</v>
      </c>
      <c r="C107" s="152">
        <v>12</v>
      </c>
      <c r="D107" s="153">
        <v>5</v>
      </c>
      <c r="E107" s="151" t="s">
        <v>47</v>
      </c>
      <c r="F107" s="152" t="s">
        <v>106</v>
      </c>
      <c r="G107" s="154">
        <f aca="true" t="shared" si="104" ref="G107:H110">J107/100+615.22</f>
        <v>615.22</v>
      </c>
      <c r="H107" s="154">
        <f t="shared" si="104"/>
        <v>615.25</v>
      </c>
      <c r="I107" s="109">
        <f t="shared" si="101"/>
        <v>615.235</v>
      </c>
      <c r="J107" s="155">
        <v>0</v>
      </c>
      <c r="K107" s="156">
        <v>3</v>
      </c>
      <c r="L107" s="153">
        <f t="shared" si="102"/>
        <v>1.5</v>
      </c>
      <c r="M107" s="151">
        <v>90</v>
      </c>
      <c r="N107" s="152">
        <v>88</v>
      </c>
      <c r="O107" s="152">
        <v>50</v>
      </c>
      <c r="P107" s="152">
        <v>0</v>
      </c>
      <c r="Q107" s="152"/>
      <c r="R107" s="153"/>
      <c r="S107" s="157">
        <f t="shared" si="81"/>
        <v>-0.7655777895420581</v>
      </c>
      <c r="T107" s="158">
        <f t="shared" si="82"/>
        <v>0.6423960408422583</v>
      </c>
      <c r="U107" s="158">
        <f t="shared" si="83"/>
        <v>-0.022432964064663934</v>
      </c>
      <c r="V107" s="149">
        <f t="shared" si="84"/>
        <v>140</v>
      </c>
      <c r="W107" s="115">
        <f t="shared" si="85"/>
        <v>-1.285881683308144</v>
      </c>
      <c r="X107" s="159">
        <f t="shared" si="86"/>
        <v>140</v>
      </c>
      <c r="Y107" s="149">
        <f t="shared" si="87"/>
        <v>50</v>
      </c>
      <c r="Z107" s="115">
        <f t="shared" si="88"/>
        <v>88.71411831669185</v>
      </c>
      <c r="AA107" s="160">
        <f t="shared" si="89"/>
        <v>88.46803970036336</v>
      </c>
      <c r="AB107" s="119">
        <f t="shared" si="90"/>
        <v>88.46803970036336</v>
      </c>
      <c r="AC107" s="120">
        <f t="shared" si="91"/>
        <v>0.026734565516600296</v>
      </c>
      <c r="AD107" s="120">
        <f t="shared" si="92"/>
        <v>0.02243296406466407</v>
      </c>
      <c r="AE107" s="120">
        <f t="shared" si="93"/>
        <v>0.9993908270190958</v>
      </c>
      <c r="AF107" s="121">
        <f t="shared" si="94"/>
        <v>89.99999999999991</v>
      </c>
      <c r="AG107" s="119">
        <f t="shared" si="95"/>
        <v>88.00000000000006</v>
      </c>
      <c r="AH107" s="122">
        <f t="shared" si="96"/>
        <v>8.138440383259948E-06</v>
      </c>
      <c r="AI107" s="151">
        <v>0</v>
      </c>
      <c r="AJ107" s="153">
        <v>64</v>
      </c>
      <c r="AK107" s="151">
        <v>39.1</v>
      </c>
      <c r="AL107" s="152">
        <v>-66.4</v>
      </c>
      <c r="AM107" s="159">
        <f t="shared" si="97"/>
        <v>280.9</v>
      </c>
      <c r="AN107" s="149">
        <f t="shared" si="98"/>
        <v>190.89999999999998</v>
      </c>
      <c r="AO107" s="115">
        <f t="shared" si="99"/>
        <v>88.71411831669185</v>
      </c>
      <c r="AP107" s="121"/>
      <c r="AQ107" s="161"/>
      <c r="AR107" s="121"/>
      <c r="AS107" s="162"/>
      <c r="AT107" s="163"/>
    </row>
    <row r="108" spans="1:46" ht="15">
      <c r="A108" s="151" t="s">
        <v>45</v>
      </c>
      <c r="B108" s="152" t="s">
        <v>99</v>
      </c>
      <c r="C108" s="152">
        <v>12</v>
      </c>
      <c r="D108" s="153">
        <v>5</v>
      </c>
      <c r="E108" s="151" t="s">
        <v>47</v>
      </c>
      <c r="F108" s="152" t="s">
        <v>106</v>
      </c>
      <c r="G108" s="154">
        <f t="shared" si="104"/>
        <v>615.22</v>
      </c>
      <c r="H108" s="154">
        <f t="shared" si="104"/>
        <v>615.25</v>
      </c>
      <c r="I108" s="109">
        <f t="shared" si="101"/>
        <v>615.235</v>
      </c>
      <c r="J108" s="155">
        <v>0</v>
      </c>
      <c r="K108" s="156">
        <v>3</v>
      </c>
      <c r="L108" s="153">
        <f t="shared" si="102"/>
        <v>1.5</v>
      </c>
      <c r="M108" s="151">
        <v>180</v>
      </c>
      <c r="N108" s="152">
        <v>88</v>
      </c>
      <c r="O108" s="152">
        <v>80</v>
      </c>
      <c r="P108" s="152">
        <v>0</v>
      </c>
      <c r="Q108" s="152"/>
      <c r="R108" s="153"/>
      <c r="S108" s="157">
        <f t="shared" si="81"/>
        <v>-0.9842078347376879</v>
      </c>
      <c r="T108" s="158">
        <f t="shared" si="82"/>
        <v>0.17354239588891246</v>
      </c>
      <c r="U108" s="158">
        <f t="shared" si="83"/>
        <v>-0.03436929492884705</v>
      </c>
      <c r="V108" s="149">
        <f t="shared" si="84"/>
        <v>170</v>
      </c>
      <c r="W108" s="115">
        <f t="shared" si="85"/>
        <v>-1.9696396227933228</v>
      </c>
      <c r="X108" s="159">
        <f t="shared" si="86"/>
        <v>170</v>
      </c>
      <c r="Y108" s="149">
        <f t="shared" si="87"/>
        <v>80</v>
      </c>
      <c r="Z108" s="115">
        <f t="shared" si="88"/>
        <v>88.03036037720668</v>
      </c>
      <c r="AA108" s="160">
        <f t="shared" si="89"/>
        <v>78.97012198163446</v>
      </c>
      <c r="AB108" s="119">
        <f t="shared" si="90"/>
        <v>78.97012198163446</v>
      </c>
      <c r="AC108" s="120">
        <f t="shared" si="91"/>
        <v>0.1913208583355085</v>
      </c>
      <c r="AD108" s="120">
        <f t="shared" si="92"/>
        <v>0.03373502929685216</v>
      </c>
      <c r="AE108" s="120">
        <f t="shared" si="93"/>
        <v>0.9809476423153811</v>
      </c>
      <c r="AF108" s="121">
        <f t="shared" si="94"/>
        <v>90</v>
      </c>
      <c r="AG108" s="119">
        <f t="shared" si="95"/>
        <v>78.79778400118873</v>
      </c>
      <c r="AH108" s="122">
        <f t="shared" si="96"/>
        <v>5.71664020595227E-05</v>
      </c>
      <c r="AI108" s="151">
        <v>0</v>
      </c>
      <c r="AJ108" s="153">
        <v>64</v>
      </c>
      <c r="AK108" s="151">
        <v>39.1</v>
      </c>
      <c r="AL108" s="152">
        <v>-66.4</v>
      </c>
      <c r="AM108" s="159">
        <f t="shared" si="97"/>
        <v>310.9</v>
      </c>
      <c r="AN108" s="149">
        <f t="shared" si="98"/>
        <v>220.89999999999998</v>
      </c>
      <c r="AO108" s="115">
        <f t="shared" si="99"/>
        <v>88.03036037720668</v>
      </c>
      <c r="AP108" s="121"/>
      <c r="AQ108" s="161"/>
      <c r="AR108" s="121"/>
      <c r="AS108" s="162"/>
      <c r="AT108" s="163"/>
    </row>
    <row r="109" spans="1:46" ht="15">
      <c r="A109" s="151" t="s">
        <v>45</v>
      </c>
      <c r="B109" s="152" t="s">
        <v>99</v>
      </c>
      <c r="C109" s="152">
        <v>12</v>
      </c>
      <c r="D109" s="153">
        <v>5</v>
      </c>
      <c r="E109" s="151" t="s">
        <v>48</v>
      </c>
      <c r="F109" s="152"/>
      <c r="G109" s="154">
        <f t="shared" si="104"/>
        <v>615.3100000000001</v>
      </c>
      <c r="H109" s="154">
        <f t="shared" si="104"/>
        <v>615.32</v>
      </c>
      <c r="I109" s="109">
        <f t="shared" si="101"/>
        <v>615.315</v>
      </c>
      <c r="J109" s="155">
        <v>9</v>
      </c>
      <c r="K109" s="156">
        <v>10</v>
      </c>
      <c r="L109" s="153">
        <f t="shared" si="102"/>
        <v>9.5</v>
      </c>
      <c r="M109" s="151">
        <v>90</v>
      </c>
      <c r="N109" s="152">
        <v>5</v>
      </c>
      <c r="O109" s="152">
        <v>180</v>
      </c>
      <c r="P109" s="152">
        <v>6</v>
      </c>
      <c r="Q109" s="152"/>
      <c r="R109" s="153"/>
      <c r="S109" s="157">
        <f t="shared" si="81"/>
        <v>0.10413070090691413</v>
      </c>
      <c r="T109" s="158">
        <f t="shared" si="82"/>
        <v>-0.08667829446963064</v>
      </c>
      <c r="U109" s="158">
        <f t="shared" si="83"/>
        <v>0.9907374393020275</v>
      </c>
      <c r="V109" s="149">
        <f t="shared" si="84"/>
        <v>320.22603585620647</v>
      </c>
      <c r="W109" s="115">
        <f t="shared" si="85"/>
        <v>82.21297801271761</v>
      </c>
      <c r="X109" s="159">
        <f t="shared" si="86"/>
        <v>140.22603585620647</v>
      </c>
      <c r="Y109" s="149">
        <f t="shared" si="87"/>
        <v>50.226035856206465</v>
      </c>
      <c r="Z109" s="115">
        <f t="shared" si="88"/>
        <v>7.787021987282387</v>
      </c>
      <c r="AA109" s="160">
        <f t="shared" si="89"/>
        <v>40.03517667409755</v>
      </c>
      <c r="AB109" s="119">
        <f t="shared" si="90"/>
        <v>40.03517667409755</v>
      </c>
      <c r="AC109" s="120">
        <f t="shared" si="91"/>
        <v>0.765649660099386</v>
      </c>
      <c r="AD109" s="120">
        <f t="shared" si="92"/>
        <v>0.637326034691663</v>
      </c>
      <c r="AE109" s="120">
        <f t="shared" si="93"/>
        <v>0.08715574274765825</v>
      </c>
      <c r="AF109" s="121">
        <f t="shared" si="94"/>
        <v>90</v>
      </c>
      <c r="AG109" s="119">
        <f t="shared" si="95"/>
        <v>5.0000000000000036</v>
      </c>
      <c r="AH109" s="122">
        <f t="shared" si="96"/>
        <v>2.032674057844145E-05</v>
      </c>
      <c r="AI109" s="151">
        <v>0</v>
      </c>
      <c r="AJ109" s="153">
        <v>64</v>
      </c>
      <c r="AK109" s="151">
        <v>39.1</v>
      </c>
      <c r="AL109" s="152">
        <v>-66.4</v>
      </c>
      <c r="AM109" s="159">
        <f t="shared" si="97"/>
        <v>281.1260358562065</v>
      </c>
      <c r="AN109" s="149">
        <f t="shared" si="98"/>
        <v>191.1260358562065</v>
      </c>
      <c r="AO109" s="115">
        <f t="shared" si="99"/>
        <v>7.787021987282387</v>
      </c>
      <c r="AP109" s="121"/>
      <c r="AQ109" s="161"/>
      <c r="AR109" s="121"/>
      <c r="AS109" s="162"/>
      <c r="AT109" s="163"/>
    </row>
    <row r="110" spans="1:46" ht="15">
      <c r="A110" s="151" t="s">
        <v>45</v>
      </c>
      <c r="B110" s="152" t="s">
        <v>99</v>
      </c>
      <c r="C110" s="152">
        <v>12</v>
      </c>
      <c r="D110" s="153">
        <v>5</v>
      </c>
      <c r="E110" s="151" t="s">
        <v>47</v>
      </c>
      <c r="F110" s="152" t="s">
        <v>106</v>
      </c>
      <c r="G110" s="154">
        <f t="shared" si="104"/>
        <v>615.37</v>
      </c>
      <c r="H110" s="154">
        <f t="shared" si="104"/>
        <v>615.47</v>
      </c>
      <c r="I110" s="109">
        <f t="shared" si="101"/>
        <v>615.4200000000001</v>
      </c>
      <c r="J110" s="155">
        <v>15</v>
      </c>
      <c r="K110" s="156">
        <v>25</v>
      </c>
      <c r="L110" s="153">
        <f t="shared" si="102"/>
        <v>20</v>
      </c>
      <c r="M110" s="151">
        <v>270</v>
      </c>
      <c r="N110" s="152">
        <v>89</v>
      </c>
      <c r="O110" s="152">
        <v>45</v>
      </c>
      <c r="P110" s="152">
        <v>0</v>
      </c>
      <c r="Q110" s="152"/>
      <c r="R110" s="153"/>
      <c r="S110" s="157">
        <f t="shared" si="81"/>
        <v>-0.7069990853988242</v>
      </c>
      <c r="T110" s="158">
        <f t="shared" si="82"/>
        <v>0.7069990853988243</v>
      </c>
      <c r="U110" s="158">
        <f t="shared" si="83"/>
        <v>0.012340714939826828</v>
      </c>
      <c r="V110" s="149">
        <f t="shared" si="84"/>
        <v>135</v>
      </c>
      <c r="W110" s="115">
        <f t="shared" si="85"/>
        <v>0.7071426817872476</v>
      </c>
      <c r="X110" s="159">
        <f t="shared" si="86"/>
        <v>315</v>
      </c>
      <c r="Y110" s="149">
        <f t="shared" si="87"/>
        <v>225</v>
      </c>
      <c r="Z110" s="115">
        <f t="shared" si="88"/>
        <v>89.29285731821275</v>
      </c>
      <c r="AA110" s="160">
        <f t="shared" si="89"/>
        <v>89.29291116952395</v>
      </c>
      <c r="AB110" s="119">
        <f t="shared" si="90"/>
        <v>89.29291116952395</v>
      </c>
      <c r="AC110" s="120">
        <f t="shared" si="91"/>
        <v>0.012340714939826887</v>
      </c>
      <c r="AD110" s="120">
        <f t="shared" si="92"/>
        <v>0.012340714939827009</v>
      </c>
      <c r="AE110" s="120">
        <f t="shared" si="93"/>
        <v>0.9998476951563913</v>
      </c>
      <c r="AF110" s="121">
        <f t="shared" si="94"/>
        <v>270.0000000000003</v>
      </c>
      <c r="AG110" s="119">
        <f t="shared" si="95"/>
        <v>89.0000000000001</v>
      </c>
      <c r="AH110" s="122">
        <f t="shared" si="96"/>
        <v>3.7584334076542695E-06</v>
      </c>
      <c r="AI110" s="151">
        <v>0</v>
      </c>
      <c r="AJ110" s="153">
        <v>64</v>
      </c>
      <c r="AK110" s="151">
        <v>39.1</v>
      </c>
      <c r="AL110" s="152">
        <v>-66.4</v>
      </c>
      <c r="AM110" s="159">
        <f t="shared" si="97"/>
        <v>95.89999999999998</v>
      </c>
      <c r="AN110" s="149">
        <f t="shared" si="98"/>
        <v>5.899999999999977</v>
      </c>
      <c r="AO110" s="115">
        <f t="shared" si="99"/>
        <v>89.29285731821275</v>
      </c>
      <c r="AP110" s="121"/>
      <c r="AQ110" s="161"/>
      <c r="AR110" s="121"/>
      <c r="AS110" s="162"/>
      <c r="AT110" s="163"/>
    </row>
    <row r="111" spans="1:46" ht="15">
      <c r="A111" s="151" t="s">
        <v>45</v>
      </c>
      <c r="B111" s="152" t="s">
        <v>99</v>
      </c>
      <c r="C111" s="152">
        <v>12</v>
      </c>
      <c r="D111" s="153">
        <v>6</v>
      </c>
      <c r="E111" s="151" t="s">
        <v>112</v>
      </c>
      <c r="F111" s="152"/>
      <c r="G111" s="154">
        <f aca="true" t="shared" si="105" ref="G111:H114">J111/100+616.41</f>
        <v>616.78</v>
      </c>
      <c r="H111" s="154">
        <f t="shared" si="105"/>
        <v>616.78</v>
      </c>
      <c r="I111" s="109">
        <f t="shared" si="101"/>
        <v>616.78</v>
      </c>
      <c r="J111" s="155">
        <v>37</v>
      </c>
      <c r="K111" s="156">
        <v>37</v>
      </c>
      <c r="L111" s="153">
        <f t="shared" si="102"/>
        <v>37</v>
      </c>
      <c r="M111" s="151">
        <v>90</v>
      </c>
      <c r="N111" s="152">
        <v>5</v>
      </c>
      <c r="O111" s="152">
        <v>0</v>
      </c>
      <c r="P111" s="152">
        <v>18</v>
      </c>
      <c r="Q111" s="152"/>
      <c r="R111" s="153"/>
      <c r="S111" s="157">
        <f t="shared" si="81"/>
        <v>0.30784109141656935</v>
      </c>
      <c r="T111" s="158">
        <f t="shared" si="82"/>
        <v>0.08289003707270436</v>
      </c>
      <c r="U111" s="158">
        <f t="shared" si="83"/>
        <v>-0.9474374591188377</v>
      </c>
      <c r="V111" s="149">
        <f t="shared" si="84"/>
        <v>15.070179006159888</v>
      </c>
      <c r="W111" s="115">
        <f t="shared" si="85"/>
        <v>-71.40230937429268</v>
      </c>
      <c r="X111" s="159">
        <f t="shared" si="86"/>
        <v>15.070179006159888</v>
      </c>
      <c r="Y111" s="149">
        <f t="shared" si="87"/>
        <v>285.0701790061599</v>
      </c>
      <c r="Z111" s="115">
        <f t="shared" si="88"/>
        <v>18.597690625707315</v>
      </c>
      <c r="AA111" s="160">
        <f t="shared" si="89"/>
        <v>164.140276953458</v>
      </c>
      <c r="AB111" s="119">
        <f t="shared" si="90"/>
        <v>164.140276953458</v>
      </c>
      <c r="AC111" s="120">
        <f t="shared" si="91"/>
        <v>-0.9619336557717036</v>
      </c>
      <c r="AD111" s="120">
        <f t="shared" si="92"/>
        <v>0.2590125834776942</v>
      </c>
      <c r="AE111" s="120">
        <f t="shared" si="93"/>
        <v>0.08715574274765836</v>
      </c>
      <c r="AF111" s="121">
        <f t="shared" si="94"/>
        <v>90</v>
      </c>
      <c r="AG111" s="119">
        <f t="shared" si="95"/>
        <v>5.00000000000001</v>
      </c>
      <c r="AH111" s="122">
        <f t="shared" si="96"/>
        <v>-2.5537318529579777E-05</v>
      </c>
      <c r="AI111" s="151">
        <v>0</v>
      </c>
      <c r="AJ111" s="153">
        <v>72</v>
      </c>
      <c r="AK111" s="151">
        <v>191.4</v>
      </c>
      <c r="AL111" s="152">
        <v>66.9</v>
      </c>
      <c r="AM111" s="159">
        <f t="shared" si="97"/>
        <v>183.67017900615988</v>
      </c>
      <c r="AN111" s="149">
        <f t="shared" si="98"/>
        <v>93.67017900615988</v>
      </c>
      <c r="AO111" s="115">
        <f t="shared" si="99"/>
        <v>18.597690625707315</v>
      </c>
      <c r="AP111" s="121"/>
      <c r="AQ111" s="161"/>
      <c r="AR111" s="121"/>
      <c r="AS111" s="162"/>
      <c r="AT111" s="163"/>
    </row>
    <row r="112" spans="1:46" ht="15">
      <c r="A112" s="151" t="s">
        <v>45</v>
      </c>
      <c r="B112" s="152" t="s">
        <v>99</v>
      </c>
      <c r="C112" s="152">
        <v>12</v>
      </c>
      <c r="D112" s="153">
        <v>6</v>
      </c>
      <c r="E112" s="151" t="s">
        <v>112</v>
      </c>
      <c r="F112" s="152"/>
      <c r="G112" s="154">
        <f t="shared" si="105"/>
        <v>616.8</v>
      </c>
      <c r="H112" s="154">
        <f t="shared" si="105"/>
        <v>616.8</v>
      </c>
      <c r="I112" s="109">
        <f t="shared" si="101"/>
        <v>616.8</v>
      </c>
      <c r="J112" s="155">
        <v>39</v>
      </c>
      <c r="K112" s="156">
        <v>39</v>
      </c>
      <c r="L112" s="153">
        <f t="shared" si="102"/>
        <v>39</v>
      </c>
      <c r="M112" s="151">
        <v>270</v>
      </c>
      <c r="N112" s="152">
        <v>6</v>
      </c>
      <c r="O112" s="152">
        <v>0</v>
      </c>
      <c r="P112" s="152">
        <v>19</v>
      </c>
      <c r="Q112" s="152"/>
      <c r="R112" s="153"/>
      <c r="S112" s="157">
        <f t="shared" si="81"/>
        <v>-0.3237846580422822</v>
      </c>
      <c r="T112" s="158">
        <f t="shared" si="82"/>
        <v>0.09883360369841726</v>
      </c>
      <c r="U112" s="158">
        <f t="shared" si="83"/>
        <v>0.9403389259109426</v>
      </c>
      <c r="V112" s="149">
        <f t="shared" si="84"/>
        <v>163.02545938631565</v>
      </c>
      <c r="W112" s="115">
        <f t="shared" si="85"/>
        <v>70.20053150786221</v>
      </c>
      <c r="X112" s="159">
        <f t="shared" si="86"/>
        <v>343.0254593863157</v>
      </c>
      <c r="Y112" s="149">
        <f t="shared" si="87"/>
        <v>253.02545938631567</v>
      </c>
      <c r="Z112" s="115">
        <f t="shared" si="88"/>
        <v>19.79946849213779</v>
      </c>
      <c r="AA112" s="160">
        <f t="shared" si="89"/>
        <v>17.974281768425243</v>
      </c>
      <c r="AB112" s="119">
        <f t="shared" si="90"/>
        <v>17.974281768425243</v>
      </c>
      <c r="AC112" s="120">
        <f t="shared" si="91"/>
        <v>0.9511951282641892</v>
      </c>
      <c r="AD112" s="120">
        <f t="shared" si="92"/>
        <v>0.2903474269446443</v>
      </c>
      <c r="AE112" s="120">
        <f t="shared" si="93"/>
        <v>0.10452846326765347</v>
      </c>
      <c r="AF112" s="121">
        <f t="shared" si="94"/>
        <v>270.00000000000006</v>
      </c>
      <c r="AG112" s="119">
        <f t="shared" si="95"/>
        <v>6</v>
      </c>
      <c r="AH112" s="122">
        <f t="shared" si="96"/>
        <v>3.0285777523604998E-05</v>
      </c>
      <c r="AI112" s="151">
        <v>0</v>
      </c>
      <c r="AJ112" s="153">
        <v>72</v>
      </c>
      <c r="AK112" s="151">
        <v>191.4</v>
      </c>
      <c r="AL112" s="152">
        <v>66.9</v>
      </c>
      <c r="AM112" s="159">
        <f t="shared" si="97"/>
        <v>151.62545938631567</v>
      </c>
      <c r="AN112" s="149">
        <f t="shared" si="98"/>
        <v>61.62545938631567</v>
      </c>
      <c r="AO112" s="115">
        <f t="shared" si="99"/>
        <v>19.79946849213779</v>
      </c>
      <c r="AP112" s="121"/>
      <c r="AQ112" s="161"/>
      <c r="AR112" s="121"/>
      <c r="AS112" s="162"/>
      <c r="AT112" s="163"/>
    </row>
    <row r="113" spans="1:46" ht="15">
      <c r="A113" s="151" t="s">
        <v>45</v>
      </c>
      <c r="B113" s="152" t="s">
        <v>99</v>
      </c>
      <c r="C113" s="152">
        <v>12</v>
      </c>
      <c r="D113" s="153">
        <v>6</v>
      </c>
      <c r="E113" s="151" t="s">
        <v>48</v>
      </c>
      <c r="F113" s="152"/>
      <c r="G113" s="154">
        <f t="shared" si="105"/>
        <v>616.8199999999999</v>
      </c>
      <c r="H113" s="154">
        <f t="shared" si="105"/>
        <v>616.8199999999999</v>
      </c>
      <c r="I113" s="109">
        <f t="shared" si="101"/>
        <v>616.8199999999999</v>
      </c>
      <c r="J113" s="155">
        <v>41</v>
      </c>
      <c r="K113" s="156">
        <v>41</v>
      </c>
      <c r="L113" s="153">
        <f t="shared" si="102"/>
        <v>41</v>
      </c>
      <c r="M113" s="151">
        <v>270</v>
      </c>
      <c r="N113" s="152">
        <v>3</v>
      </c>
      <c r="O113" s="152">
        <v>180</v>
      </c>
      <c r="P113" s="152">
        <v>6</v>
      </c>
      <c r="Q113" s="152"/>
      <c r="R113" s="153"/>
      <c r="S113" s="157">
        <f t="shared" si="81"/>
        <v>-0.10438521064158733</v>
      </c>
      <c r="T113" s="158">
        <f t="shared" si="82"/>
        <v>-0.05204925439864349</v>
      </c>
      <c r="U113" s="158">
        <f t="shared" si="83"/>
        <v>-0.9931589376748557</v>
      </c>
      <c r="V113" s="149">
        <f t="shared" si="84"/>
        <v>206.50206973598142</v>
      </c>
      <c r="W113" s="115">
        <f t="shared" si="85"/>
        <v>-83.30154702070026</v>
      </c>
      <c r="X113" s="159">
        <f t="shared" si="86"/>
        <v>206.50206973598142</v>
      </c>
      <c r="Y113" s="149">
        <f t="shared" si="87"/>
        <v>116.50206973598142</v>
      </c>
      <c r="Z113" s="115">
        <f t="shared" si="88"/>
        <v>6.698452979299745</v>
      </c>
      <c r="AA113" s="160">
        <f t="shared" si="89"/>
        <v>153.3408854350508</v>
      </c>
      <c r="AB113" s="119">
        <f t="shared" si="90"/>
        <v>153.3408854350508</v>
      </c>
      <c r="AC113" s="120">
        <f t="shared" si="91"/>
        <v>-0.8936917883497041</v>
      </c>
      <c r="AD113" s="120">
        <f t="shared" si="92"/>
        <v>0.44561859826587624</v>
      </c>
      <c r="AE113" s="120">
        <f t="shared" si="93"/>
        <v>0.05233595624294382</v>
      </c>
      <c r="AF113" s="121">
        <f t="shared" si="94"/>
        <v>270</v>
      </c>
      <c r="AG113" s="119">
        <f t="shared" si="95"/>
        <v>3</v>
      </c>
      <c r="AH113" s="122">
        <f t="shared" si="96"/>
        <v>-1.4247051546966148E-05</v>
      </c>
      <c r="AI113" s="151">
        <v>0</v>
      </c>
      <c r="AJ113" s="153">
        <v>72</v>
      </c>
      <c r="AK113" s="151">
        <v>191.4</v>
      </c>
      <c r="AL113" s="152">
        <v>66.9</v>
      </c>
      <c r="AM113" s="159">
        <f t="shared" si="97"/>
        <v>15.102069735981416</v>
      </c>
      <c r="AN113" s="149">
        <f t="shared" si="98"/>
        <v>285.10206973598144</v>
      </c>
      <c r="AO113" s="115">
        <f t="shared" si="99"/>
        <v>6.698452979299745</v>
      </c>
      <c r="AP113" s="121"/>
      <c r="AQ113" s="161"/>
      <c r="AR113" s="121"/>
      <c r="AS113" s="162"/>
      <c r="AT113" s="163"/>
    </row>
    <row r="114" spans="1:46" ht="15.75" thickBot="1">
      <c r="A114" s="164" t="s">
        <v>45</v>
      </c>
      <c r="B114" s="165" t="s">
        <v>99</v>
      </c>
      <c r="C114" s="165">
        <v>12</v>
      </c>
      <c r="D114" s="166">
        <v>6</v>
      </c>
      <c r="E114" s="164" t="s">
        <v>47</v>
      </c>
      <c r="F114" s="165" t="s">
        <v>103</v>
      </c>
      <c r="G114" s="167">
        <f t="shared" si="105"/>
        <v>616.92</v>
      </c>
      <c r="H114" s="167">
        <f t="shared" si="105"/>
        <v>616.9399999999999</v>
      </c>
      <c r="I114" s="133">
        <f t="shared" si="101"/>
        <v>616.93</v>
      </c>
      <c r="J114" s="168">
        <v>51</v>
      </c>
      <c r="K114" s="169">
        <v>53</v>
      </c>
      <c r="L114" s="166">
        <f t="shared" si="102"/>
        <v>52</v>
      </c>
      <c r="M114" s="164">
        <v>90</v>
      </c>
      <c r="N114" s="165">
        <v>7</v>
      </c>
      <c r="O114" s="165">
        <v>180</v>
      </c>
      <c r="P114" s="165">
        <v>17</v>
      </c>
      <c r="Q114" s="165"/>
      <c r="R114" s="166"/>
      <c r="S114" s="170">
        <f t="shared" si="81"/>
        <v>0.2901924103713653</v>
      </c>
      <c r="T114" s="171">
        <f t="shared" si="82"/>
        <v>-0.11654423270443494</v>
      </c>
      <c r="U114" s="171">
        <f t="shared" si="83"/>
        <v>0.9491766053274043</v>
      </c>
      <c r="V114" s="172">
        <f t="shared" si="84"/>
        <v>338.11910210548945</v>
      </c>
      <c r="W114" s="139">
        <f t="shared" si="85"/>
        <v>71.7647486187115</v>
      </c>
      <c r="X114" s="173">
        <f t="shared" si="86"/>
        <v>158.11910210548945</v>
      </c>
      <c r="Y114" s="172">
        <f t="shared" si="87"/>
        <v>68.11910210548945</v>
      </c>
      <c r="Z114" s="139">
        <f t="shared" si="88"/>
        <v>18.235251381288506</v>
      </c>
      <c r="AA114" s="174">
        <f t="shared" si="89"/>
        <v>22.92085952161426</v>
      </c>
      <c r="AB114" s="143">
        <f t="shared" si="90"/>
        <v>22.92085952161426</v>
      </c>
      <c r="AC114" s="144">
        <f t="shared" si="91"/>
        <v>0.9210436772010185</v>
      </c>
      <c r="AD114" s="144">
        <f t="shared" si="92"/>
        <v>0.3699005377476818</v>
      </c>
      <c r="AE114" s="144">
        <f t="shared" si="93"/>
        <v>0.12186934340514745</v>
      </c>
      <c r="AF114" s="145">
        <f t="shared" si="94"/>
        <v>90.00000000000001</v>
      </c>
      <c r="AG114" s="143">
        <f t="shared" si="95"/>
        <v>6.999999999999999</v>
      </c>
      <c r="AH114" s="146">
        <f t="shared" si="96"/>
        <v>3.4190889529408855E-05</v>
      </c>
      <c r="AI114" s="164">
        <v>0</v>
      </c>
      <c r="AJ114" s="166">
        <v>72</v>
      </c>
      <c r="AK114" s="164">
        <v>191.4</v>
      </c>
      <c r="AL114" s="165">
        <v>66.8</v>
      </c>
      <c r="AM114" s="173">
        <f t="shared" si="97"/>
        <v>326.71910210548947</v>
      </c>
      <c r="AN114" s="172">
        <f t="shared" si="98"/>
        <v>236.71910210548947</v>
      </c>
      <c r="AO114" s="139">
        <f t="shared" si="99"/>
        <v>18.235251381288506</v>
      </c>
      <c r="AP114" s="145"/>
      <c r="AQ114" s="175"/>
      <c r="AR114" s="145"/>
      <c r="AS114" s="176"/>
      <c r="AT114" s="163"/>
    </row>
    <row r="115" spans="1:45" ht="15">
      <c r="A115" s="105"/>
      <c r="B115" s="105"/>
      <c r="C115" s="105"/>
      <c r="D115" s="105"/>
      <c r="E115" s="105"/>
      <c r="F115" s="105"/>
      <c r="G115" s="108"/>
      <c r="H115" s="108"/>
      <c r="I115" s="109"/>
      <c r="J115" s="105"/>
      <c r="K115" s="105"/>
      <c r="L115" s="105"/>
      <c r="M115" s="105"/>
      <c r="N115" s="105"/>
      <c r="O115" s="105"/>
      <c r="P115" s="105"/>
      <c r="Q115" s="105"/>
      <c r="R115" s="105"/>
      <c r="S115" s="113"/>
      <c r="T115" s="113"/>
      <c r="U115" s="113"/>
      <c r="V115" s="114"/>
      <c r="W115" s="149"/>
      <c r="X115" s="114"/>
      <c r="Y115" s="114"/>
      <c r="Z115" s="114"/>
      <c r="AA115" s="124"/>
      <c r="AB115" s="119"/>
      <c r="AC115" s="120"/>
      <c r="AD115" s="120"/>
      <c r="AE115" s="120"/>
      <c r="AF115" s="121"/>
      <c r="AG115" s="119"/>
      <c r="AH115" s="120"/>
      <c r="AI115" s="105"/>
      <c r="AJ115" s="105"/>
      <c r="AK115" s="126"/>
      <c r="AL115" s="126"/>
      <c r="AM115" s="114"/>
      <c r="AN115" s="114" t="s">
        <v>135</v>
      </c>
      <c r="AO115" s="114"/>
      <c r="AP115" s="121"/>
      <c r="AQ115" s="124"/>
      <c r="AR115" s="121"/>
      <c r="AS115" s="105"/>
    </row>
    <row r="116" ht="15">
      <c r="AK116" s="266" t="s">
        <v>175</v>
      </c>
    </row>
  </sheetData>
  <sheetProtection/>
  <mergeCells count="17">
    <mergeCell ref="X1:Z1"/>
    <mergeCell ref="B1:B2"/>
    <mergeCell ref="C1:C2"/>
    <mergeCell ref="D1:D2"/>
    <mergeCell ref="E1:E2"/>
    <mergeCell ref="J1:J2"/>
    <mergeCell ref="K1:K2"/>
    <mergeCell ref="AA1:AH1"/>
    <mergeCell ref="AI1:AJ1"/>
    <mergeCell ref="AK1:AL1"/>
    <mergeCell ref="AM1:AO1"/>
    <mergeCell ref="AP1:AS1"/>
    <mergeCell ref="L1:L2"/>
    <mergeCell ref="M1:N1"/>
    <mergeCell ref="O1:P1"/>
    <mergeCell ref="Q1:R1"/>
    <mergeCell ref="S1:W1"/>
  </mergeCells>
  <dataValidations count="1">
    <dataValidation type="list" allowBlank="1" showInputMessage="1" showErrorMessage="1" sqref="AS3:AS56">
      <formula1>"N,R,SS"</formula1>
    </dataValidation>
  </dataValidations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5"/>
  <sheetViews>
    <sheetView tabSelected="1" zoomScale="41" zoomScaleNormal="41" zoomScalePageLayoutView="0" workbookViewId="0" topLeftCell="AE1">
      <selection activeCell="AN3" sqref="AN3"/>
    </sheetView>
  </sheetViews>
  <sheetFormatPr defaultColWidth="12.50390625" defaultRowHeight="15.75"/>
  <cols>
    <col min="1" max="1" width="6.00390625" style="91" customWidth="1"/>
    <col min="2" max="4" width="3.50390625" style="91" customWidth="1"/>
    <col min="5" max="5" width="27.625" style="91" customWidth="1"/>
    <col min="6" max="6" width="17.375" style="91" customWidth="1"/>
    <col min="7" max="7" width="9.125" style="150" customWidth="1"/>
    <col min="8" max="8" width="10.625" style="150" customWidth="1"/>
    <col min="9" max="9" width="9.125" style="150" customWidth="1"/>
    <col min="10" max="12" width="9.875" style="91" customWidth="1"/>
    <col min="13" max="18" width="7.875" style="91" customWidth="1"/>
    <col min="19" max="34" width="6.875" style="91" customWidth="1"/>
    <col min="35" max="44" width="7.875" style="91" customWidth="1"/>
    <col min="45" max="45" width="9.875" style="91" customWidth="1"/>
    <col min="46" max="46" width="9.00390625" style="91" customWidth="1"/>
    <col min="47" max="16384" width="12.50390625" style="91" customWidth="1"/>
  </cols>
  <sheetData>
    <row r="1" spans="1:45" ht="27" customHeight="1">
      <c r="A1" s="88"/>
      <c r="B1" s="235" t="s">
        <v>0</v>
      </c>
      <c r="C1" s="235" t="s">
        <v>1</v>
      </c>
      <c r="D1" s="237" t="s">
        <v>134</v>
      </c>
      <c r="E1" s="239" t="s">
        <v>3</v>
      </c>
      <c r="F1" s="89" t="s">
        <v>52</v>
      </c>
      <c r="G1" s="90" t="s">
        <v>133</v>
      </c>
      <c r="H1" s="90" t="s">
        <v>5</v>
      </c>
      <c r="I1" s="90" t="s">
        <v>132</v>
      </c>
      <c r="J1" s="241" t="s">
        <v>7</v>
      </c>
      <c r="K1" s="243" t="s">
        <v>8</v>
      </c>
      <c r="L1" s="223" t="s">
        <v>9</v>
      </c>
      <c r="M1" s="225" t="s">
        <v>10</v>
      </c>
      <c r="N1" s="226"/>
      <c r="O1" s="227" t="s">
        <v>11</v>
      </c>
      <c r="P1" s="228"/>
      <c r="Q1" s="227" t="s">
        <v>131</v>
      </c>
      <c r="R1" s="229"/>
      <c r="S1" s="215" t="s">
        <v>13</v>
      </c>
      <c r="T1" s="230"/>
      <c r="U1" s="230"/>
      <c r="V1" s="230"/>
      <c r="W1" s="231"/>
      <c r="X1" s="232" t="s">
        <v>130</v>
      </c>
      <c r="Y1" s="233"/>
      <c r="Z1" s="234"/>
      <c r="AA1" s="215" t="s">
        <v>128</v>
      </c>
      <c r="AB1" s="216"/>
      <c r="AC1" s="216"/>
      <c r="AD1" s="216"/>
      <c r="AE1" s="216"/>
      <c r="AF1" s="216"/>
      <c r="AG1" s="216"/>
      <c r="AH1" s="217"/>
      <c r="AI1" s="218" t="s">
        <v>16</v>
      </c>
      <c r="AJ1" s="219"/>
      <c r="AK1" s="220" t="s">
        <v>17</v>
      </c>
      <c r="AL1" s="221"/>
      <c r="AM1" s="215" t="s">
        <v>129</v>
      </c>
      <c r="AN1" s="216"/>
      <c r="AO1" s="217"/>
      <c r="AP1" s="222" t="s">
        <v>128</v>
      </c>
      <c r="AQ1" s="216"/>
      <c r="AR1" s="216"/>
      <c r="AS1" s="217"/>
    </row>
    <row r="2" spans="1:46" ht="18" customHeight="1">
      <c r="A2" s="92" t="s">
        <v>20</v>
      </c>
      <c r="B2" s="236"/>
      <c r="C2" s="236"/>
      <c r="D2" s="238"/>
      <c r="E2" s="240"/>
      <c r="F2" s="93" t="s">
        <v>53</v>
      </c>
      <c r="G2" s="94" t="s">
        <v>127</v>
      </c>
      <c r="H2" s="94" t="s">
        <v>127</v>
      </c>
      <c r="I2" s="94" t="s">
        <v>127</v>
      </c>
      <c r="J2" s="242"/>
      <c r="K2" s="244"/>
      <c r="L2" s="224"/>
      <c r="M2" s="95" t="s">
        <v>125</v>
      </c>
      <c r="N2" s="96" t="s">
        <v>22</v>
      </c>
      <c r="O2" s="96" t="s">
        <v>125</v>
      </c>
      <c r="P2" s="96" t="s">
        <v>22</v>
      </c>
      <c r="Q2" s="97" t="s">
        <v>117</v>
      </c>
      <c r="R2" s="98" t="s">
        <v>126</v>
      </c>
      <c r="S2" s="95" t="s">
        <v>121</v>
      </c>
      <c r="T2" s="93" t="s">
        <v>120</v>
      </c>
      <c r="U2" s="96" t="s">
        <v>119</v>
      </c>
      <c r="V2" s="93" t="s">
        <v>125</v>
      </c>
      <c r="W2" s="98" t="s">
        <v>22</v>
      </c>
      <c r="X2" s="95" t="s">
        <v>28</v>
      </c>
      <c r="Y2" s="99" t="s">
        <v>124</v>
      </c>
      <c r="Z2" s="98" t="s">
        <v>22</v>
      </c>
      <c r="AA2" s="100" t="s">
        <v>123</v>
      </c>
      <c r="AB2" s="97" t="s">
        <v>122</v>
      </c>
      <c r="AC2" s="97" t="s">
        <v>121</v>
      </c>
      <c r="AD2" s="97" t="s">
        <v>120</v>
      </c>
      <c r="AE2" s="97" t="s">
        <v>119</v>
      </c>
      <c r="AF2" s="97" t="s">
        <v>116</v>
      </c>
      <c r="AG2" s="101" t="s">
        <v>115</v>
      </c>
      <c r="AH2" s="98" t="s">
        <v>114</v>
      </c>
      <c r="AI2" s="95" t="s">
        <v>35</v>
      </c>
      <c r="AJ2" s="98" t="s">
        <v>36</v>
      </c>
      <c r="AK2" s="95" t="s">
        <v>37</v>
      </c>
      <c r="AL2" s="97" t="s">
        <v>38</v>
      </c>
      <c r="AM2" s="102" t="s">
        <v>28</v>
      </c>
      <c r="AN2" s="96" t="s">
        <v>118</v>
      </c>
      <c r="AO2" s="98" t="s">
        <v>22</v>
      </c>
      <c r="AP2" s="99" t="s">
        <v>117</v>
      </c>
      <c r="AQ2" s="97" t="s">
        <v>116</v>
      </c>
      <c r="AR2" s="101" t="s">
        <v>115</v>
      </c>
      <c r="AS2" s="98" t="s">
        <v>114</v>
      </c>
      <c r="AT2" s="103" t="s">
        <v>113</v>
      </c>
    </row>
    <row r="3" spans="1:45" ht="15">
      <c r="A3" s="104" t="s">
        <v>45</v>
      </c>
      <c r="B3" s="105" t="s">
        <v>101</v>
      </c>
      <c r="C3" s="105">
        <v>1</v>
      </c>
      <c r="D3" s="106">
        <v>3</v>
      </c>
      <c r="E3" s="107" t="s">
        <v>48</v>
      </c>
      <c r="F3" s="105"/>
      <c r="G3" s="108">
        <f>J3/100+101.625</f>
        <v>101.855</v>
      </c>
      <c r="H3" s="108">
        <f>K3/100+101.625</f>
        <v>101.855</v>
      </c>
      <c r="I3" s="109">
        <f aca="true" t="shared" si="0" ref="I3:I43">(G3+H3)/2</f>
        <v>101.855</v>
      </c>
      <c r="J3" s="110">
        <v>23</v>
      </c>
      <c r="K3" s="111">
        <v>23</v>
      </c>
      <c r="L3" s="106">
        <f aca="true" t="shared" si="1" ref="L3:L43">(+J3+K3)/2</f>
        <v>23</v>
      </c>
      <c r="M3" s="104">
        <v>270</v>
      </c>
      <c r="N3" s="105">
        <v>6</v>
      </c>
      <c r="O3" s="105">
        <v>180</v>
      </c>
      <c r="P3" s="105">
        <v>35</v>
      </c>
      <c r="Q3" s="105"/>
      <c r="R3" s="106"/>
      <c r="S3" s="112">
        <f aca="true" t="shared" si="2" ref="S3:S43">COS(N3*PI()/180)*SIN(M3*PI()/180)*(SIN(P3*PI()/180))-(COS(P3*PI()/180)*SIN(O3*PI()/180))*(SIN(N3*PI()/180))</f>
        <v>-0.570434324618422</v>
      </c>
      <c r="T3" s="113">
        <f aca="true" t="shared" si="3" ref="T3:T43">(SIN(N3*PI()/180))*(COS(P3*PI()/180)*COS(O3*PI()/180))-(SIN(P3*PI()/180))*(COS(N3*PI()/180)*COS(M3*PI()/180))</f>
        <v>-0.08562470437208501</v>
      </c>
      <c r="U3" s="113">
        <f aca="true" t="shared" si="4" ref="U3:U43">(COS(N3*PI()/180)*COS(M3*PI()/180))*(COS(P3*PI()/180)*SIN(O3*PI()/180))-(COS(N3*PI()/180)*SIN(M3*PI()/180))*(COS(P3*PI()/180)*COS(O3*PI()/180))</f>
        <v>-0.8146646436810838</v>
      </c>
      <c r="V3" s="114">
        <f aca="true" t="shared" si="5" ref="V3:V43">IF(S3=0,IF(T3&gt;=0,90,270),IF(S3&gt;0,IF(T3&gt;=0,ATAN(T3/S3)*180/PI(),ATAN(T3/S3)*180/PI()+360),ATAN(T3/S3)*180/PI()+180))</f>
        <v>188.5366158029645</v>
      </c>
      <c r="W3" s="115">
        <f aca="true" t="shared" si="6" ref="W3:W43">ASIN(U3/SQRT(S3^2+T3^2+U3^2))*180/PI()</f>
        <v>-54.699525418695686</v>
      </c>
      <c r="X3" s="116">
        <f aca="true" t="shared" si="7" ref="X3:X43">IF(U3&lt;0,V3,IF(V3+180&gt;=360,V3-180,V3+180))</f>
        <v>188.5366158029645</v>
      </c>
      <c r="Y3" s="114">
        <f aca="true" t="shared" si="8" ref="Y3:Y43">IF(X3-90&lt;0,X3+270,X3-90)</f>
        <v>98.53661580296449</v>
      </c>
      <c r="Z3" s="117">
        <f aca="true" t="shared" si="9" ref="Z3:Z43">IF(U3&lt;0,90+W3,90-W3)</f>
        <v>35.300474581304314</v>
      </c>
      <c r="AA3" s="118">
        <f aca="true" t="shared" si="10" ref="AA3:AA43">IF(-T3&lt;0,180-ACOS(SIN((X3-90)*PI()/180)*U3/SQRT(T3^2+U3^2))*180/PI(),ACOS(SIN((X3-90)*PI()/180)*U3/SQRT(T3^2+U3^2))*180/PI())</f>
        <v>169.5785396125916</v>
      </c>
      <c r="AB3" s="119">
        <f aca="true" t="shared" si="11" ref="AB3:AB43">IF(R3=90,IF(AA3-Q3&lt;0,AA3-Q3+180,AA3-Q3),IF(AA3+Q3&gt;180,AA3+Q3-180,AA3+Q3))</f>
        <v>169.5785396125916</v>
      </c>
      <c r="AC3" s="120">
        <f aca="true" t="shared" si="12" ref="AC3:AC43">COS(AB3*PI()/180)</f>
        <v>-0.9835037875782757</v>
      </c>
      <c r="AD3" s="120">
        <f aca="true" t="shared" si="13" ref="AD3:AD43">SIN(AB3*PI()/180)*COS(Z3*PI()/180)</f>
        <v>0.14762824995944607</v>
      </c>
      <c r="AE3" s="120">
        <f aca="true" t="shared" si="14" ref="AE3:AE43">SIN(AB3*PI()/180)*SIN(Z3*PI()/180)</f>
        <v>0.10452846326765386</v>
      </c>
      <c r="AF3" s="121">
        <f aca="true" t="shared" si="15" ref="AF3:AF43">IF(IF(AC3=0,IF(AD3&gt;=0,90,270),IF(AC3&gt;0,IF(AD3&gt;=0,ATAN(AD3/AC3)*180/PI(),ATAN(AD3/AC3)*180/PI()+360),ATAN(AD3/AC3)*180/PI()+180))-(360-Y3)&lt;0,IF(AC3=0,IF(AD3&gt;=0,90,270),IF(AC3&gt;0,IF(AD3&gt;=0,ATAN(AD3/AC3)*180/PI(),ATAN(AD3/AC3)*180/PI()+360),ATAN(AD3/AC3)*180/PI()+180))+Y3,IF(AC3=0,IF(AD3&gt;=0,90,270),IF(AC3&gt;0,IF(AD3&gt;=0,ATAN(AD3/AC3)*180/PI(),ATAN(AD3/AC3)*180/PI()+360),ATAN(AD3/AC3)*180/PI()+180))-(360-Y3))</f>
        <v>269.99999999999994</v>
      </c>
      <c r="AG3" s="119">
        <f aca="true" t="shared" si="16" ref="AG3:AG43">ASIN(AE3/SQRT(AC3^2+AD3^2+AE3^2))*180/PI()</f>
        <v>6.000000000000022</v>
      </c>
      <c r="AH3" s="122">
        <f aca="true" t="shared" si="17" ref="AH3:AH43">SIN(AE3*PI()/180)*SIN(AC3*PI()/180)</f>
        <v>-3.131437650556652E-05</v>
      </c>
      <c r="AI3" s="104">
        <v>22</v>
      </c>
      <c r="AJ3" s="106">
        <v>41</v>
      </c>
      <c r="AK3" s="104">
        <v>182</v>
      </c>
      <c r="AL3" s="105">
        <v>79.5</v>
      </c>
      <c r="AM3" s="123">
        <f aca="true" t="shared" si="18" ref="AM3:AM43">IF(AL3&gt;=0,IF(X3&gt;=AK3,X3-AK3,X3-AK3+360),IF((X3-AK3-180)&lt;0,IF(X3-AK3+180&lt;0,X3-AK3+540,X3-AK3+180),X3-AK3-180))</f>
        <v>6.536615802964491</v>
      </c>
      <c r="AN3" s="114">
        <f aca="true" t="shared" si="19" ref="AN3:AN43">IF(AM3-90&lt;0,AM3+270,AM3-90)</f>
        <v>276.5366158029645</v>
      </c>
      <c r="AO3" s="117">
        <f aca="true" t="shared" si="20" ref="AO3:AO43">Z3</f>
        <v>35.300474581304314</v>
      </c>
      <c r="AP3" s="121"/>
      <c r="AQ3" s="124"/>
      <c r="AR3" s="121"/>
      <c r="AS3" s="106"/>
    </row>
    <row r="4" spans="1:45" ht="15">
      <c r="A4" s="104" t="s">
        <v>45</v>
      </c>
      <c r="B4" s="105" t="s">
        <v>101</v>
      </c>
      <c r="C4" s="105">
        <v>1</v>
      </c>
      <c r="D4" s="106">
        <v>3</v>
      </c>
      <c r="E4" s="107" t="s">
        <v>48</v>
      </c>
      <c r="F4" s="105"/>
      <c r="G4" s="108">
        <f>J4/100+101.625</f>
        <v>101.995</v>
      </c>
      <c r="H4" s="108">
        <f>K4/100+101.625</f>
        <v>101.995</v>
      </c>
      <c r="I4" s="109">
        <f t="shared" si="0"/>
        <v>101.995</v>
      </c>
      <c r="J4" s="110">
        <v>37</v>
      </c>
      <c r="K4" s="111">
        <v>37</v>
      </c>
      <c r="L4" s="106">
        <f t="shared" si="1"/>
        <v>37</v>
      </c>
      <c r="M4" s="104">
        <v>90</v>
      </c>
      <c r="N4" s="105">
        <v>5</v>
      </c>
      <c r="O4" s="105">
        <v>180</v>
      </c>
      <c r="P4" s="105">
        <v>6</v>
      </c>
      <c r="Q4" s="105"/>
      <c r="R4" s="106"/>
      <c r="S4" s="112">
        <f t="shared" si="2"/>
        <v>0.10413070090691413</v>
      </c>
      <c r="T4" s="113">
        <f t="shared" si="3"/>
        <v>-0.08667829446963064</v>
      </c>
      <c r="U4" s="113">
        <f t="shared" si="4"/>
        <v>0.9907374393020275</v>
      </c>
      <c r="V4" s="114">
        <f t="shared" si="5"/>
        <v>320.22603585620647</v>
      </c>
      <c r="W4" s="115">
        <f t="shared" si="6"/>
        <v>82.21297801271761</v>
      </c>
      <c r="X4" s="116">
        <f t="shared" si="7"/>
        <v>140.22603585620647</v>
      </c>
      <c r="Y4" s="114">
        <f t="shared" si="8"/>
        <v>50.226035856206465</v>
      </c>
      <c r="Z4" s="117">
        <f t="shared" si="9"/>
        <v>7.787021987282387</v>
      </c>
      <c r="AA4" s="118">
        <f t="shared" si="10"/>
        <v>40.03517667409755</v>
      </c>
      <c r="AB4" s="119">
        <f t="shared" si="11"/>
        <v>40.03517667409755</v>
      </c>
      <c r="AC4" s="120">
        <f t="shared" si="12"/>
        <v>0.765649660099386</v>
      </c>
      <c r="AD4" s="120">
        <f t="shared" si="13"/>
        <v>0.637326034691663</v>
      </c>
      <c r="AE4" s="120">
        <f t="shared" si="14"/>
        <v>0.08715574274765825</v>
      </c>
      <c r="AF4" s="121">
        <f t="shared" si="15"/>
        <v>90</v>
      </c>
      <c r="AG4" s="119">
        <f t="shared" si="16"/>
        <v>5.0000000000000036</v>
      </c>
      <c r="AH4" s="122">
        <f t="shared" si="17"/>
        <v>2.032674057844145E-05</v>
      </c>
      <c r="AI4" s="104">
        <v>22</v>
      </c>
      <c r="AJ4" s="106">
        <v>41</v>
      </c>
      <c r="AK4" s="104">
        <v>182</v>
      </c>
      <c r="AL4" s="105">
        <v>79.5</v>
      </c>
      <c r="AM4" s="116">
        <f t="shared" si="18"/>
        <v>318.22603585620647</v>
      </c>
      <c r="AN4" s="114">
        <f t="shared" si="19"/>
        <v>228.22603585620647</v>
      </c>
      <c r="AO4" s="117">
        <f t="shared" si="20"/>
        <v>7.787021987282387</v>
      </c>
      <c r="AP4" s="121"/>
      <c r="AQ4" s="124"/>
      <c r="AR4" s="121"/>
      <c r="AS4" s="106"/>
    </row>
    <row r="5" spans="1:45" ht="15">
      <c r="A5" s="104" t="s">
        <v>45</v>
      </c>
      <c r="B5" s="105" t="s">
        <v>101</v>
      </c>
      <c r="C5" s="105">
        <v>1</v>
      </c>
      <c r="D5" s="106">
        <v>4</v>
      </c>
      <c r="E5" s="107" t="s">
        <v>48</v>
      </c>
      <c r="F5" s="105"/>
      <c r="G5" s="108">
        <f>J5/100+102.905</f>
        <v>103.265</v>
      </c>
      <c r="H5" s="108">
        <f>K5/100+102.905</f>
        <v>103.275</v>
      </c>
      <c r="I5" s="109">
        <f t="shared" si="0"/>
        <v>103.27000000000001</v>
      </c>
      <c r="J5" s="110">
        <v>36</v>
      </c>
      <c r="K5" s="111">
        <v>37</v>
      </c>
      <c r="L5" s="106">
        <f t="shared" si="1"/>
        <v>36.5</v>
      </c>
      <c r="M5" s="104">
        <v>270</v>
      </c>
      <c r="N5" s="105">
        <v>5</v>
      </c>
      <c r="O5" s="105">
        <v>180</v>
      </c>
      <c r="P5" s="105">
        <v>11</v>
      </c>
      <c r="Q5" s="105"/>
      <c r="R5" s="106"/>
      <c r="S5" s="112">
        <f t="shared" si="2"/>
        <v>-0.19008290954232632</v>
      </c>
      <c r="T5" s="113">
        <f t="shared" si="3"/>
        <v>-0.0855544462746728</v>
      </c>
      <c r="U5" s="113">
        <f t="shared" si="4"/>
        <v>-0.9778917956532961</v>
      </c>
      <c r="V5" s="114">
        <f t="shared" si="5"/>
        <v>204.23204082196978</v>
      </c>
      <c r="W5" s="115">
        <f t="shared" si="6"/>
        <v>-77.96682320895555</v>
      </c>
      <c r="X5" s="116">
        <f t="shared" si="7"/>
        <v>204.23204082196978</v>
      </c>
      <c r="Y5" s="114">
        <f t="shared" si="8"/>
        <v>114.23204082196978</v>
      </c>
      <c r="Z5" s="117">
        <f t="shared" si="9"/>
        <v>12.033176791044454</v>
      </c>
      <c r="AA5" s="118">
        <f t="shared" si="10"/>
        <v>155.28801069024775</v>
      </c>
      <c r="AB5" s="119">
        <f t="shared" si="11"/>
        <v>155.28801069024775</v>
      </c>
      <c r="AC5" s="120">
        <f t="shared" si="12"/>
        <v>-0.9084207177273975</v>
      </c>
      <c r="AD5" s="120">
        <f t="shared" si="13"/>
        <v>0.4088712219143627</v>
      </c>
      <c r="AE5" s="120">
        <f t="shared" si="14"/>
        <v>0.08715574274765796</v>
      </c>
      <c r="AF5" s="121">
        <f t="shared" si="15"/>
        <v>270</v>
      </c>
      <c r="AG5" s="119">
        <f t="shared" si="16"/>
        <v>4.9999999999999885</v>
      </c>
      <c r="AH5" s="122">
        <f t="shared" si="17"/>
        <v>-2.411678494971836E-05</v>
      </c>
      <c r="AI5" s="104">
        <v>33</v>
      </c>
      <c r="AJ5" s="106">
        <v>40</v>
      </c>
      <c r="AK5" s="104">
        <v>291.9</v>
      </c>
      <c r="AL5" s="105">
        <v>57.2</v>
      </c>
      <c r="AM5" s="116">
        <f t="shared" si="18"/>
        <v>272.3320408219698</v>
      </c>
      <c r="AN5" s="114">
        <f t="shared" si="19"/>
        <v>182.33204082196983</v>
      </c>
      <c r="AO5" s="117">
        <f t="shared" si="20"/>
        <v>12.033176791044454</v>
      </c>
      <c r="AP5" s="121"/>
      <c r="AQ5" s="124"/>
      <c r="AR5" s="121"/>
      <c r="AS5" s="106"/>
    </row>
    <row r="6" spans="1:45" ht="15">
      <c r="A6" s="104" t="s">
        <v>45</v>
      </c>
      <c r="B6" s="105" t="s">
        <v>101</v>
      </c>
      <c r="C6" s="105">
        <v>1</v>
      </c>
      <c r="D6" s="106">
        <v>5</v>
      </c>
      <c r="E6" s="107" t="s">
        <v>48</v>
      </c>
      <c r="F6" s="105"/>
      <c r="G6" s="108">
        <f>J6/100+104.195</f>
        <v>104.32499999999999</v>
      </c>
      <c r="H6" s="108">
        <f>K6/100+104.195</f>
        <v>104.335</v>
      </c>
      <c r="I6" s="109">
        <f t="shared" si="0"/>
        <v>104.32999999999998</v>
      </c>
      <c r="J6" s="110">
        <v>13</v>
      </c>
      <c r="K6" s="111">
        <v>14</v>
      </c>
      <c r="L6" s="106">
        <f t="shared" si="1"/>
        <v>13.5</v>
      </c>
      <c r="M6" s="104">
        <v>270</v>
      </c>
      <c r="N6" s="105">
        <v>2</v>
      </c>
      <c r="O6" s="105">
        <v>180</v>
      </c>
      <c r="P6" s="105">
        <v>6</v>
      </c>
      <c r="Q6" s="105"/>
      <c r="R6" s="106"/>
      <c r="S6" s="112">
        <f t="shared" si="2"/>
        <v>-0.10446478735209536</v>
      </c>
      <c r="T6" s="113">
        <f t="shared" si="3"/>
        <v>-0.03470831360797005</v>
      </c>
      <c r="U6" s="113">
        <f t="shared" si="4"/>
        <v>-0.9939160595006973</v>
      </c>
      <c r="V6" s="114">
        <f t="shared" si="5"/>
        <v>198.37901197749653</v>
      </c>
      <c r="W6" s="115">
        <f t="shared" si="6"/>
        <v>-83.68004299396074</v>
      </c>
      <c r="X6" s="116">
        <f t="shared" si="7"/>
        <v>198.37901197749653</v>
      </c>
      <c r="Y6" s="114">
        <f t="shared" si="8"/>
        <v>108.37901197749653</v>
      </c>
      <c r="Z6" s="117">
        <f t="shared" si="9"/>
        <v>6.31995700603926</v>
      </c>
      <c r="AA6" s="118">
        <f t="shared" si="10"/>
        <v>161.51622535673675</v>
      </c>
      <c r="AB6" s="119">
        <f t="shared" si="11"/>
        <v>161.51622535673675</v>
      </c>
      <c r="AC6" s="120">
        <f t="shared" si="12"/>
        <v>-0.948413473383808</v>
      </c>
      <c r="AD6" s="120">
        <f t="shared" si="13"/>
        <v>0.31510935980064597</v>
      </c>
      <c r="AE6" s="120">
        <f t="shared" si="14"/>
        <v>0.034899496702501163</v>
      </c>
      <c r="AF6" s="121">
        <f t="shared" si="15"/>
        <v>270</v>
      </c>
      <c r="AG6" s="119">
        <f t="shared" si="16"/>
        <v>2.000000000000011</v>
      </c>
      <c r="AH6" s="122">
        <f t="shared" si="17"/>
        <v>-1.0082117495090554E-05</v>
      </c>
      <c r="AI6" s="104">
        <v>0</v>
      </c>
      <c r="AJ6" s="106">
        <v>15</v>
      </c>
      <c r="AK6" s="104">
        <v>307.2</v>
      </c>
      <c r="AL6" s="105">
        <v>77.2</v>
      </c>
      <c r="AM6" s="116">
        <f t="shared" si="18"/>
        <v>251.17901197749654</v>
      </c>
      <c r="AN6" s="114">
        <f t="shared" si="19"/>
        <v>161.17901197749654</v>
      </c>
      <c r="AO6" s="117">
        <f t="shared" si="20"/>
        <v>6.31995700603926</v>
      </c>
      <c r="AP6" s="121"/>
      <c r="AQ6" s="124"/>
      <c r="AR6" s="121"/>
      <c r="AS6" s="106"/>
    </row>
    <row r="7" spans="1:45" ht="15">
      <c r="A7" s="104" t="s">
        <v>45</v>
      </c>
      <c r="B7" s="105" t="s">
        <v>101</v>
      </c>
      <c r="C7" s="105">
        <v>2</v>
      </c>
      <c r="D7" s="106">
        <v>1</v>
      </c>
      <c r="E7" s="107" t="s">
        <v>48</v>
      </c>
      <c r="F7" s="105"/>
      <c r="G7" s="108">
        <f>J7/100+109.5</f>
        <v>109.95</v>
      </c>
      <c r="H7" s="108">
        <f>K7/100+109.5</f>
        <v>109.96</v>
      </c>
      <c r="I7" s="109">
        <f t="shared" si="0"/>
        <v>109.955</v>
      </c>
      <c r="J7" s="110">
        <v>45</v>
      </c>
      <c r="K7" s="111">
        <v>46</v>
      </c>
      <c r="L7" s="106">
        <f t="shared" si="1"/>
        <v>45.5</v>
      </c>
      <c r="M7" s="104">
        <v>90</v>
      </c>
      <c r="N7" s="105">
        <v>13</v>
      </c>
      <c r="O7" s="105">
        <v>0</v>
      </c>
      <c r="P7" s="105">
        <v>2</v>
      </c>
      <c r="Q7" s="105"/>
      <c r="R7" s="106"/>
      <c r="S7" s="112">
        <f t="shared" si="2"/>
        <v>0.034005024862987974</v>
      </c>
      <c r="T7" s="113">
        <f t="shared" si="3"/>
        <v>0.2248140202395328</v>
      </c>
      <c r="U7" s="113">
        <f t="shared" si="4"/>
        <v>-0.9737765048683662</v>
      </c>
      <c r="V7" s="114">
        <f t="shared" si="5"/>
        <v>81.39872905383277</v>
      </c>
      <c r="W7" s="115">
        <f t="shared" si="6"/>
        <v>-76.85723222850996</v>
      </c>
      <c r="X7" s="116">
        <f t="shared" si="7"/>
        <v>81.39872905383277</v>
      </c>
      <c r="Y7" s="114">
        <f t="shared" si="8"/>
        <v>351.39872905383277</v>
      </c>
      <c r="Z7" s="117">
        <f t="shared" si="9"/>
        <v>13.142767771490043</v>
      </c>
      <c r="AA7" s="118">
        <f t="shared" si="10"/>
        <v>98.3792143618472</v>
      </c>
      <c r="AB7" s="119">
        <f t="shared" si="11"/>
        <v>98.3792143618472</v>
      </c>
      <c r="AC7" s="120">
        <f t="shared" si="12"/>
        <v>-0.14572413289425254</v>
      </c>
      <c r="AD7" s="120">
        <f t="shared" si="13"/>
        <v>0.9634113868134432</v>
      </c>
      <c r="AE7" s="120">
        <f t="shared" si="14"/>
        <v>0.2249510543438648</v>
      </c>
      <c r="AF7" s="121">
        <f t="shared" si="15"/>
        <v>90</v>
      </c>
      <c r="AG7" s="119">
        <f t="shared" si="16"/>
        <v>12.99999999999999</v>
      </c>
      <c r="AH7" s="122">
        <f t="shared" si="17"/>
        <v>-9.985565484090806E-06</v>
      </c>
      <c r="AI7" s="104">
        <v>37</v>
      </c>
      <c r="AJ7" s="106">
        <v>58</v>
      </c>
      <c r="AK7" s="104">
        <v>234.7</v>
      </c>
      <c r="AL7" s="105">
        <v>83.4</v>
      </c>
      <c r="AM7" s="116">
        <f t="shared" si="18"/>
        <v>206.69872905383278</v>
      </c>
      <c r="AN7" s="114">
        <f t="shared" si="19"/>
        <v>116.69872905383278</v>
      </c>
      <c r="AO7" s="117">
        <f t="shared" si="20"/>
        <v>13.142767771490043</v>
      </c>
      <c r="AP7" s="121"/>
      <c r="AQ7" s="124"/>
      <c r="AR7" s="121"/>
      <c r="AS7" s="106"/>
    </row>
    <row r="8" spans="1:45" ht="15">
      <c r="A8" s="104" t="s">
        <v>45</v>
      </c>
      <c r="B8" s="105" t="s">
        <v>101</v>
      </c>
      <c r="C8" s="105">
        <v>2</v>
      </c>
      <c r="D8" s="106">
        <v>4</v>
      </c>
      <c r="E8" s="107" t="s">
        <v>48</v>
      </c>
      <c r="F8" s="105"/>
      <c r="G8" s="108">
        <f>J8/100+112.245</f>
        <v>113.105</v>
      </c>
      <c r="H8" s="108">
        <f>K8/100+112.245</f>
        <v>113.105</v>
      </c>
      <c r="I8" s="109">
        <f t="shared" si="0"/>
        <v>113.105</v>
      </c>
      <c r="J8" s="110">
        <v>86</v>
      </c>
      <c r="K8" s="111">
        <v>86</v>
      </c>
      <c r="L8" s="106">
        <f t="shared" si="1"/>
        <v>86</v>
      </c>
      <c r="M8" s="104">
        <v>90</v>
      </c>
      <c r="N8" s="105">
        <v>4</v>
      </c>
      <c r="O8" s="105">
        <v>180</v>
      </c>
      <c r="P8" s="105">
        <v>5</v>
      </c>
      <c r="Q8" s="105"/>
      <c r="R8" s="106"/>
      <c r="S8" s="112">
        <f t="shared" si="2"/>
        <v>0.08694343573875717</v>
      </c>
      <c r="T8" s="113">
        <f t="shared" si="3"/>
        <v>-0.06949102930147368</v>
      </c>
      <c r="U8" s="113">
        <f t="shared" si="4"/>
        <v>0.9937680178757644</v>
      </c>
      <c r="V8" s="114">
        <f t="shared" si="5"/>
        <v>321.36580520133214</v>
      </c>
      <c r="W8" s="115">
        <f t="shared" si="6"/>
        <v>83.60949830070747</v>
      </c>
      <c r="X8" s="116">
        <f t="shared" si="7"/>
        <v>141.36580520133214</v>
      </c>
      <c r="Y8" s="114">
        <f t="shared" si="8"/>
        <v>51.36580520133214</v>
      </c>
      <c r="Z8" s="117">
        <f t="shared" si="9"/>
        <v>6.390501699292528</v>
      </c>
      <c r="AA8" s="118">
        <f t="shared" si="10"/>
        <v>38.80848542052183</v>
      </c>
      <c r="AB8" s="119">
        <f t="shared" si="11"/>
        <v>38.80848542052183</v>
      </c>
      <c r="AC8" s="120">
        <f t="shared" si="12"/>
        <v>0.7792451572839596</v>
      </c>
      <c r="AD8" s="120">
        <f t="shared" si="13"/>
        <v>0.6228250309840494</v>
      </c>
      <c r="AE8" s="120">
        <f t="shared" si="14"/>
        <v>0.06975647374412507</v>
      </c>
      <c r="AF8" s="121">
        <f t="shared" si="15"/>
        <v>90</v>
      </c>
      <c r="AG8" s="119">
        <f t="shared" si="16"/>
        <v>3.9999999999999862</v>
      </c>
      <c r="AH8" s="122">
        <f t="shared" si="17"/>
        <v>1.6557694664850878E-05</v>
      </c>
      <c r="AI8" s="104">
        <v>79</v>
      </c>
      <c r="AJ8" s="106">
        <v>118</v>
      </c>
      <c r="AK8" s="104">
        <v>82</v>
      </c>
      <c r="AL8" s="105">
        <v>58</v>
      </c>
      <c r="AM8" s="116">
        <f t="shared" si="18"/>
        <v>59.36580520133214</v>
      </c>
      <c r="AN8" s="114">
        <f t="shared" si="19"/>
        <v>329.36580520133214</v>
      </c>
      <c r="AO8" s="117">
        <f t="shared" si="20"/>
        <v>6.390501699292528</v>
      </c>
      <c r="AP8" s="121"/>
      <c r="AQ8" s="124"/>
      <c r="AR8" s="121"/>
      <c r="AS8" s="106"/>
    </row>
    <row r="9" spans="1:45" ht="15">
      <c r="A9" s="104" t="s">
        <v>45</v>
      </c>
      <c r="B9" s="105" t="s">
        <v>101</v>
      </c>
      <c r="C9" s="105">
        <v>2</v>
      </c>
      <c r="D9" s="106">
        <v>4</v>
      </c>
      <c r="E9" s="107" t="s">
        <v>48</v>
      </c>
      <c r="F9" s="105"/>
      <c r="G9" s="108">
        <f>J9/100+112.245</f>
        <v>113.28500000000001</v>
      </c>
      <c r="H9" s="108">
        <f>K9/100+112.245</f>
        <v>113.28500000000001</v>
      </c>
      <c r="I9" s="109">
        <f t="shared" si="0"/>
        <v>113.28500000000001</v>
      </c>
      <c r="J9" s="110">
        <v>104</v>
      </c>
      <c r="K9" s="111">
        <v>104</v>
      </c>
      <c r="L9" s="106">
        <f t="shared" si="1"/>
        <v>104</v>
      </c>
      <c r="M9" s="104">
        <v>90</v>
      </c>
      <c r="N9" s="105">
        <v>2</v>
      </c>
      <c r="O9" s="105">
        <v>0</v>
      </c>
      <c r="P9" s="105">
        <v>0</v>
      </c>
      <c r="Q9" s="105"/>
      <c r="R9" s="106"/>
      <c r="S9" s="112">
        <f t="shared" si="2"/>
        <v>0</v>
      </c>
      <c r="T9" s="113">
        <f t="shared" si="3"/>
        <v>0.03489949670250097</v>
      </c>
      <c r="U9" s="113">
        <f t="shared" si="4"/>
        <v>-0.9993908270190958</v>
      </c>
      <c r="V9" s="114">
        <f t="shared" si="5"/>
        <v>90</v>
      </c>
      <c r="W9" s="115">
        <f t="shared" si="6"/>
        <v>-88.00000000000024</v>
      </c>
      <c r="X9" s="116">
        <f t="shared" si="7"/>
        <v>90</v>
      </c>
      <c r="Y9" s="114">
        <f t="shared" si="8"/>
        <v>0</v>
      </c>
      <c r="Z9" s="117">
        <f t="shared" si="9"/>
        <v>1.9999999999997584</v>
      </c>
      <c r="AA9" s="118">
        <f t="shared" si="10"/>
        <v>90</v>
      </c>
      <c r="AB9" s="119">
        <f t="shared" si="11"/>
        <v>90</v>
      </c>
      <c r="AC9" s="120">
        <f t="shared" si="12"/>
        <v>6.1257422745431E-17</v>
      </c>
      <c r="AD9" s="120">
        <f t="shared" si="13"/>
        <v>0.9993908270190959</v>
      </c>
      <c r="AE9" s="120">
        <f t="shared" si="14"/>
        <v>0.03489949670249676</v>
      </c>
      <c r="AF9" s="121">
        <f t="shared" si="15"/>
        <v>90</v>
      </c>
      <c r="AG9" s="119">
        <f t="shared" si="16"/>
        <v>1.9999999999997589</v>
      </c>
      <c r="AH9" s="122">
        <f t="shared" si="17"/>
        <v>6.512272924364097E-22</v>
      </c>
      <c r="AI9" s="104">
        <v>79</v>
      </c>
      <c r="AJ9" s="106">
        <v>118</v>
      </c>
      <c r="AK9" s="104">
        <v>82</v>
      </c>
      <c r="AL9" s="105">
        <v>58</v>
      </c>
      <c r="AM9" s="116">
        <f t="shared" si="18"/>
        <v>8</v>
      </c>
      <c r="AN9" s="114">
        <f t="shared" si="19"/>
        <v>278</v>
      </c>
      <c r="AO9" s="117">
        <f t="shared" si="20"/>
        <v>1.9999999999997584</v>
      </c>
      <c r="AP9" s="121"/>
      <c r="AQ9" s="124"/>
      <c r="AR9" s="121"/>
      <c r="AS9" s="106"/>
    </row>
    <row r="10" spans="1:45" ht="15">
      <c r="A10" s="104" t="s">
        <v>45</v>
      </c>
      <c r="B10" s="105" t="s">
        <v>101</v>
      </c>
      <c r="C10" s="105">
        <v>2</v>
      </c>
      <c r="D10" s="106">
        <v>5</v>
      </c>
      <c r="E10" s="107" t="s">
        <v>48</v>
      </c>
      <c r="F10" s="105"/>
      <c r="G10" s="108">
        <f>J10/100+113.685</f>
        <v>114.355</v>
      </c>
      <c r="H10" s="108">
        <f>K10/100+113.685</f>
        <v>114.355</v>
      </c>
      <c r="I10" s="109">
        <f t="shared" si="0"/>
        <v>114.355</v>
      </c>
      <c r="J10" s="110">
        <v>67</v>
      </c>
      <c r="K10" s="111">
        <v>67</v>
      </c>
      <c r="L10" s="106">
        <f t="shared" si="1"/>
        <v>67</v>
      </c>
      <c r="M10" s="104">
        <v>270</v>
      </c>
      <c r="N10" s="105">
        <v>11</v>
      </c>
      <c r="O10" s="105">
        <v>180</v>
      </c>
      <c r="P10" s="105">
        <v>6</v>
      </c>
      <c r="Q10" s="105"/>
      <c r="R10" s="106"/>
      <c r="S10" s="112">
        <f t="shared" si="2"/>
        <v>-0.10260798098753929</v>
      </c>
      <c r="T10" s="113">
        <f t="shared" si="3"/>
        <v>-0.1897637237351974</v>
      </c>
      <c r="U10" s="113">
        <f t="shared" si="4"/>
        <v>-0.9762497270273904</v>
      </c>
      <c r="V10" s="114">
        <f t="shared" si="5"/>
        <v>241.59927147242325</v>
      </c>
      <c r="W10" s="115">
        <f t="shared" si="6"/>
        <v>-77.5392271015405</v>
      </c>
      <c r="X10" s="116">
        <f t="shared" si="7"/>
        <v>241.59927147242325</v>
      </c>
      <c r="Y10" s="114">
        <f t="shared" si="8"/>
        <v>151.59927147242325</v>
      </c>
      <c r="Z10" s="117">
        <f t="shared" si="9"/>
        <v>12.460772898459496</v>
      </c>
      <c r="AA10" s="118">
        <f t="shared" si="10"/>
        <v>117.83303803790339</v>
      </c>
      <c r="AB10" s="119">
        <f t="shared" si="11"/>
        <v>117.83303803790339</v>
      </c>
      <c r="AC10" s="120">
        <f t="shared" si="12"/>
        <v>-0.46689663210495036</v>
      </c>
      <c r="AD10" s="120">
        <f t="shared" si="13"/>
        <v>0.8634810143902693</v>
      </c>
      <c r="AE10" s="120">
        <f t="shared" si="14"/>
        <v>0.19080899537654475</v>
      </c>
      <c r="AF10" s="121">
        <f t="shared" si="15"/>
        <v>270</v>
      </c>
      <c r="AG10" s="119">
        <f t="shared" si="16"/>
        <v>10.999999999999996</v>
      </c>
      <c r="AH10" s="122">
        <f t="shared" si="17"/>
        <v>-2.7137429741230917E-05</v>
      </c>
      <c r="AI10" s="104">
        <v>53</v>
      </c>
      <c r="AJ10" s="106">
        <v>117</v>
      </c>
      <c r="AK10" s="104">
        <v>190.5</v>
      </c>
      <c r="AL10" s="105">
        <v>28.2</v>
      </c>
      <c r="AM10" s="116">
        <f t="shared" si="18"/>
        <v>51.099271472423254</v>
      </c>
      <c r="AN10" s="114">
        <f t="shared" si="19"/>
        <v>321.09927147242325</v>
      </c>
      <c r="AO10" s="117">
        <f t="shared" si="20"/>
        <v>12.460772898459496</v>
      </c>
      <c r="AP10" s="121"/>
      <c r="AQ10" s="124"/>
      <c r="AR10" s="121"/>
      <c r="AS10" s="106"/>
    </row>
    <row r="11" spans="1:45" ht="15">
      <c r="A11" s="104" t="s">
        <v>45</v>
      </c>
      <c r="B11" s="105" t="s">
        <v>101</v>
      </c>
      <c r="C11" s="105">
        <v>3</v>
      </c>
      <c r="D11" s="106">
        <v>2</v>
      </c>
      <c r="E11" s="107" t="s">
        <v>48</v>
      </c>
      <c r="F11" s="105"/>
      <c r="G11" s="108">
        <f>J11/100+119.695</f>
        <v>120.455</v>
      </c>
      <c r="H11" s="108">
        <f>K11/100+119.695</f>
        <v>120.455</v>
      </c>
      <c r="I11" s="109">
        <f t="shared" si="0"/>
        <v>120.455</v>
      </c>
      <c r="J11" s="110">
        <v>76</v>
      </c>
      <c r="K11" s="111">
        <v>76</v>
      </c>
      <c r="L11" s="106">
        <f t="shared" si="1"/>
        <v>76</v>
      </c>
      <c r="M11" s="104">
        <v>90</v>
      </c>
      <c r="N11" s="105">
        <v>0</v>
      </c>
      <c r="O11" s="105">
        <v>0</v>
      </c>
      <c r="P11" s="105">
        <v>0</v>
      </c>
      <c r="Q11" s="105"/>
      <c r="R11" s="106"/>
      <c r="S11" s="112">
        <f t="shared" si="2"/>
        <v>0</v>
      </c>
      <c r="T11" s="113">
        <f t="shared" si="3"/>
        <v>0</v>
      </c>
      <c r="U11" s="113">
        <f t="shared" si="4"/>
        <v>-1</v>
      </c>
      <c r="V11" s="114">
        <f t="shared" si="5"/>
        <v>90</v>
      </c>
      <c r="W11" s="115">
        <f t="shared" si="6"/>
        <v>-90</v>
      </c>
      <c r="X11" s="116">
        <f t="shared" si="7"/>
        <v>90</v>
      </c>
      <c r="Y11" s="114">
        <f t="shared" si="8"/>
        <v>0</v>
      </c>
      <c r="Z11" s="117">
        <f t="shared" si="9"/>
        <v>0</v>
      </c>
      <c r="AA11" s="118">
        <f t="shared" si="10"/>
        <v>90</v>
      </c>
      <c r="AB11" s="119">
        <f t="shared" si="11"/>
        <v>90</v>
      </c>
      <c r="AC11" s="120">
        <f t="shared" si="12"/>
        <v>6.1257422745431E-17</v>
      </c>
      <c r="AD11" s="120">
        <f t="shared" si="13"/>
        <v>1</v>
      </c>
      <c r="AE11" s="120">
        <f t="shared" si="14"/>
        <v>0</v>
      </c>
      <c r="AF11" s="121">
        <f t="shared" si="15"/>
        <v>90</v>
      </c>
      <c r="AG11" s="119">
        <f t="shared" si="16"/>
        <v>0</v>
      </c>
      <c r="AH11" s="122">
        <f t="shared" si="17"/>
        <v>0</v>
      </c>
      <c r="AI11" s="104">
        <v>62</v>
      </c>
      <c r="AJ11" s="106">
        <v>81</v>
      </c>
      <c r="AK11" s="104">
        <v>327.8</v>
      </c>
      <c r="AL11" s="105">
        <v>79.7</v>
      </c>
      <c r="AM11" s="116">
        <f t="shared" si="18"/>
        <v>122.19999999999999</v>
      </c>
      <c r="AN11" s="114">
        <f t="shared" si="19"/>
        <v>32.19999999999999</v>
      </c>
      <c r="AO11" s="117">
        <f t="shared" si="20"/>
        <v>0</v>
      </c>
      <c r="AP11" s="121"/>
      <c r="AQ11" s="124"/>
      <c r="AR11" s="121"/>
      <c r="AS11" s="106"/>
    </row>
    <row r="12" spans="1:45" ht="15">
      <c r="A12" s="104" t="s">
        <v>45</v>
      </c>
      <c r="B12" s="105" t="s">
        <v>101</v>
      </c>
      <c r="C12" s="105">
        <v>3</v>
      </c>
      <c r="D12" s="106">
        <v>4</v>
      </c>
      <c r="E12" s="107" t="s">
        <v>48</v>
      </c>
      <c r="F12" s="105"/>
      <c r="G12" s="108">
        <f>J12/100+121.155</f>
        <v>121.595</v>
      </c>
      <c r="H12" s="108">
        <f>K12/100+121.155</f>
        <v>121.595</v>
      </c>
      <c r="I12" s="109">
        <f t="shared" si="0"/>
        <v>121.595</v>
      </c>
      <c r="J12" s="110">
        <v>44</v>
      </c>
      <c r="K12" s="111">
        <v>44</v>
      </c>
      <c r="L12" s="106">
        <f t="shared" si="1"/>
        <v>44</v>
      </c>
      <c r="M12" s="104">
        <v>270</v>
      </c>
      <c r="N12" s="105">
        <v>1</v>
      </c>
      <c r="O12" s="105">
        <v>0</v>
      </c>
      <c r="P12" s="105">
        <v>3</v>
      </c>
      <c r="Q12" s="105"/>
      <c r="R12" s="106"/>
      <c r="S12" s="112">
        <f t="shared" si="2"/>
        <v>-0.05232798522331313</v>
      </c>
      <c r="T12" s="113">
        <f t="shared" si="3"/>
        <v>0.017428488520812174</v>
      </c>
      <c r="U12" s="113">
        <f t="shared" si="4"/>
        <v>0.9984774386394599</v>
      </c>
      <c r="V12" s="114">
        <f t="shared" si="5"/>
        <v>161.57901920027496</v>
      </c>
      <c r="W12" s="115">
        <f t="shared" si="6"/>
        <v>86.83829951329474</v>
      </c>
      <c r="X12" s="116">
        <f t="shared" si="7"/>
        <v>341.57901920027496</v>
      </c>
      <c r="Y12" s="114">
        <f t="shared" si="8"/>
        <v>251.57901920027496</v>
      </c>
      <c r="Z12" s="117">
        <f t="shared" si="9"/>
        <v>3.161700486705257</v>
      </c>
      <c r="AA12" s="118">
        <f t="shared" si="10"/>
        <v>18.447163402703552</v>
      </c>
      <c r="AB12" s="119">
        <f t="shared" si="11"/>
        <v>18.447163402703552</v>
      </c>
      <c r="AC12" s="120">
        <f t="shared" si="12"/>
        <v>0.9486158615927547</v>
      </c>
      <c r="AD12" s="120">
        <f t="shared" si="13"/>
        <v>0.31594835122877857</v>
      </c>
      <c r="AE12" s="120">
        <f t="shared" si="14"/>
        <v>0.017452406437282863</v>
      </c>
      <c r="AF12" s="121">
        <f t="shared" si="15"/>
        <v>270</v>
      </c>
      <c r="AG12" s="119">
        <f t="shared" si="16"/>
        <v>0.9999999999999627</v>
      </c>
      <c r="AH12" s="122">
        <f t="shared" si="17"/>
        <v>5.042902686369346E-06</v>
      </c>
      <c r="AI12" s="104">
        <v>42</v>
      </c>
      <c r="AJ12" s="106">
        <v>63</v>
      </c>
      <c r="AK12" s="104">
        <v>346.9</v>
      </c>
      <c r="AL12" s="105">
        <v>75.7</v>
      </c>
      <c r="AM12" s="116">
        <f t="shared" si="18"/>
        <v>354.679019200275</v>
      </c>
      <c r="AN12" s="114">
        <f t="shared" si="19"/>
        <v>264.679019200275</v>
      </c>
      <c r="AO12" s="117">
        <f t="shared" si="20"/>
        <v>3.161700486705257</v>
      </c>
      <c r="AP12" s="121"/>
      <c r="AQ12" s="124"/>
      <c r="AR12" s="121"/>
      <c r="AS12" s="106"/>
    </row>
    <row r="13" spans="1:45" ht="15">
      <c r="A13" s="104" t="s">
        <v>45</v>
      </c>
      <c r="B13" s="105" t="s">
        <v>101</v>
      </c>
      <c r="C13" s="105">
        <v>3</v>
      </c>
      <c r="D13" s="106">
        <v>4</v>
      </c>
      <c r="E13" s="107" t="s">
        <v>48</v>
      </c>
      <c r="F13" s="105"/>
      <c r="G13" s="108">
        <f>J13/100+121.155</f>
        <v>121.67</v>
      </c>
      <c r="H13" s="108">
        <f>K13/100+121.155</f>
        <v>121.68</v>
      </c>
      <c r="I13" s="109">
        <f t="shared" si="0"/>
        <v>121.67500000000001</v>
      </c>
      <c r="J13" s="110">
        <v>51.5</v>
      </c>
      <c r="K13" s="111">
        <v>52.5</v>
      </c>
      <c r="L13" s="106">
        <f t="shared" si="1"/>
        <v>52</v>
      </c>
      <c r="M13" s="104">
        <v>90</v>
      </c>
      <c r="N13" s="105">
        <v>7</v>
      </c>
      <c r="O13" s="105">
        <v>0</v>
      </c>
      <c r="P13" s="105">
        <v>4</v>
      </c>
      <c r="Q13" s="105"/>
      <c r="R13" s="106"/>
      <c r="S13" s="112">
        <f t="shared" si="2"/>
        <v>0.06923651956680049</v>
      </c>
      <c r="T13" s="113">
        <f t="shared" si="3"/>
        <v>0.12157247580974431</v>
      </c>
      <c r="U13" s="113">
        <f t="shared" si="4"/>
        <v>-0.9901283591011188</v>
      </c>
      <c r="V13" s="114">
        <f t="shared" si="5"/>
        <v>60.33813320852101</v>
      </c>
      <c r="W13" s="115">
        <f t="shared" si="6"/>
        <v>-81.95732666086839</v>
      </c>
      <c r="X13" s="116">
        <f t="shared" si="7"/>
        <v>60.33813320852101</v>
      </c>
      <c r="Y13" s="114">
        <f t="shared" si="8"/>
        <v>330.338133208521</v>
      </c>
      <c r="Z13" s="117">
        <f t="shared" si="9"/>
        <v>8.04267333913161</v>
      </c>
      <c r="AA13" s="118">
        <f t="shared" si="10"/>
        <v>119.41893719399215</v>
      </c>
      <c r="AB13" s="119">
        <f t="shared" si="11"/>
        <v>119.41893719399215</v>
      </c>
      <c r="AC13" s="120">
        <f t="shared" si="12"/>
        <v>-0.4911916772369741</v>
      </c>
      <c r="AD13" s="120">
        <f t="shared" si="13"/>
        <v>0.8624839704893805</v>
      </c>
      <c r="AE13" s="120">
        <f t="shared" si="14"/>
        <v>0.12186934340514709</v>
      </c>
      <c r="AF13" s="121">
        <f t="shared" si="15"/>
        <v>90</v>
      </c>
      <c r="AG13" s="119">
        <f t="shared" si="16"/>
        <v>6.999999999999978</v>
      </c>
      <c r="AH13" s="122">
        <f t="shared" si="17"/>
        <v>-1.823452937098504E-05</v>
      </c>
      <c r="AI13" s="104">
        <v>42</v>
      </c>
      <c r="AJ13" s="106">
        <v>63</v>
      </c>
      <c r="AK13" s="104">
        <v>346.9</v>
      </c>
      <c r="AL13" s="105">
        <v>75.7</v>
      </c>
      <c r="AM13" s="116">
        <f t="shared" si="18"/>
        <v>73.43813320852104</v>
      </c>
      <c r="AN13" s="114">
        <f t="shared" si="19"/>
        <v>343.43813320852104</v>
      </c>
      <c r="AO13" s="117">
        <f t="shared" si="20"/>
        <v>8.04267333913161</v>
      </c>
      <c r="AP13" s="121"/>
      <c r="AQ13" s="124"/>
      <c r="AR13" s="121"/>
      <c r="AS13" s="106"/>
    </row>
    <row r="14" spans="1:45" ht="15">
      <c r="A14" s="104" t="s">
        <v>45</v>
      </c>
      <c r="B14" s="105" t="s">
        <v>101</v>
      </c>
      <c r="C14" s="105">
        <v>5</v>
      </c>
      <c r="D14" s="106">
        <v>1</v>
      </c>
      <c r="E14" s="107" t="s">
        <v>48</v>
      </c>
      <c r="F14" s="105"/>
      <c r="G14" s="108">
        <f>J14/100+134</f>
        <v>134.79</v>
      </c>
      <c r="H14" s="108">
        <f>K14/100+134</f>
        <v>134.8</v>
      </c>
      <c r="I14" s="109">
        <f t="shared" si="0"/>
        <v>134.79500000000002</v>
      </c>
      <c r="J14" s="110">
        <v>79</v>
      </c>
      <c r="K14" s="111">
        <v>80</v>
      </c>
      <c r="L14" s="106">
        <f t="shared" si="1"/>
        <v>79.5</v>
      </c>
      <c r="M14" s="104">
        <v>270</v>
      </c>
      <c r="N14" s="105">
        <v>8</v>
      </c>
      <c r="O14" s="105">
        <v>0</v>
      </c>
      <c r="P14" s="105">
        <v>2</v>
      </c>
      <c r="Q14" s="105"/>
      <c r="R14" s="106"/>
      <c r="S14" s="112">
        <f t="shared" si="2"/>
        <v>-0.03455985719963844</v>
      </c>
      <c r="T14" s="113">
        <f t="shared" si="3"/>
        <v>0.13908832046729191</v>
      </c>
      <c r="U14" s="113">
        <f t="shared" si="4"/>
        <v>0.9896648241902408</v>
      </c>
      <c r="V14" s="114">
        <f t="shared" si="5"/>
        <v>103.95393377939871</v>
      </c>
      <c r="W14" s="115">
        <f t="shared" si="6"/>
        <v>81.76003283137152</v>
      </c>
      <c r="X14" s="116">
        <f t="shared" si="7"/>
        <v>283.9539337793987</v>
      </c>
      <c r="Y14" s="114">
        <f t="shared" si="8"/>
        <v>193.9539337793987</v>
      </c>
      <c r="Z14" s="117">
        <f t="shared" si="9"/>
        <v>8.239967168628482</v>
      </c>
      <c r="AA14" s="118">
        <f t="shared" si="10"/>
        <v>76.18457361245464</v>
      </c>
      <c r="AB14" s="119">
        <f t="shared" si="11"/>
        <v>76.18457361245464</v>
      </c>
      <c r="AC14" s="120">
        <f t="shared" si="12"/>
        <v>0.2387949183413452</v>
      </c>
      <c r="AD14" s="120">
        <f t="shared" si="13"/>
        <v>0.961045178409168</v>
      </c>
      <c r="AE14" s="120">
        <f t="shared" si="14"/>
        <v>0.13917310096006538</v>
      </c>
      <c r="AF14" s="121">
        <f t="shared" si="15"/>
        <v>270</v>
      </c>
      <c r="AG14" s="119">
        <f t="shared" si="16"/>
        <v>7.999999999999996</v>
      </c>
      <c r="AH14" s="122">
        <f t="shared" si="17"/>
        <v>1.0123564061323172E-05</v>
      </c>
      <c r="AI14" s="104">
        <v>35</v>
      </c>
      <c r="AJ14" s="106">
        <v>42</v>
      </c>
      <c r="AK14" s="104">
        <v>270.8</v>
      </c>
      <c r="AL14" s="105">
        <v>62.8</v>
      </c>
      <c r="AM14" s="116">
        <f t="shared" si="18"/>
        <v>13.153933779398699</v>
      </c>
      <c r="AN14" s="114">
        <f t="shared" si="19"/>
        <v>283.1539337793987</v>
      </c>
      <c r="AO14" s="117">
        <f t="shared" si="20"/>
        <v>8.239967168628482</v>
      </c>
      <c r="AP14" s="121"/>
      <c r="AQ14" s="124"/>
      <c r="AR14" s="121"/>
      <c r="AS14" s="106"/>
    </row>
    <row r="15" spans="1:45" ht="15">
      <c r="A15" s="104" t="s">
        <v>45</v>
      </c>
      <c r="B15" s="105" t="s">
        <v>101</v>
      </c>
      <c r="C15" s="105">
        <v>5</v>
      </c>
      <c r="D15" s="106">
        <v>3</v>
      </c>
      <c r="E15" s="107" t="s">
        <v>48</v>
      </c>
      <c r="F15" s="105"/>
      <c r="G15" s="108">
        <f>J15/100+135.105</f>
        <v>135.875</v>
      </c>
      <c r="H15" s="108">
        <f>K15/100+135.105</f>
        <v>135.885</v>
      </c>
      <c r="I15" s="109">
        <f t="shared" si="0"/>
        <v>135.88</v>
      </c>
      <c r="J15" s="110">
        <v>77</v>
      </c>
      <c r="K15" s="111">
        <v>78</v>
      </c>
      <c r="L15" s="106">
        <f t="shared" si="1"/>
        <v>77.5</v>
      </c>
      <c r="M15" s="104">
        <v>270</v>
      </c>
      <c r="N15" s="105">
        <v>8</v>
      </c>
      <c r="O15" s="105">
        <v>0</v>
      </c>
      <c r="P15" s="105">
        <v>2</v>
      </c>
      <c r="Q15" s="105"/>
      <c r="R15" s="106"/>
      <c r="S15" s="112">
        <f t="shared" si="2"/>
        <v>-0.03455985719963844</v>
      </c>
      <c r="T15" s="113">
        <f t="shared" si="3"/>
        <v>0.13908832046729191</v>
      </c>
      <c r="U15" s="113">
        <f t="shared" si="4"/>
        <v>0.9896648241902408</v>
      </c>
      <c r="V15" s="114">
        <f t="shared" si="5"/>
        <v>103.95393377939871</v>
      </c>
      <c r="W15" s="115">
        <f t="shared" si="6"/>
        <v>81.76003283137152</v>
      </c>
      <c r="X15" s="116">
        <f t="shared" si="7"/>
        <v>283.9539337793987</v>
      </c>
      <c r="Y15" s="114">
        <f t="shared" si="8"/>
        <v>193.9539337793987</v>
      </c>
      <c r="Z15" s="117">
        <f t="shared" si="9"/>
        <v>8.239967168628482</v>
      </c>
      <c r="AA15" s="118">
        <f t="shared" si="10"/>
        <v>76.18457361245464</v>
      </c>
      <c r="AB15" s="119">
        <f t="shared" si="11"/>
        <v>76.18457361245464</v>
      </c>
      <c r="AC15" s="120">
        <f t="shared" si="12"/>
        <v>0.2387949183413452</v>
      </c>
      <c r="AD15" s="120">
        <f t="shared" si="13"/>
        <v>0.961045178409168</v>
      </c>
      <c r="AE15" s="120">
        <f t="shared" si="14"/>
        <v>0.13917310096006538</v>
      </c>
      <c r="AF15" s="121">
        <f t="shared" si="15"/>
        <v>270</v>
      </c>
      <c r="AG15" s="119">
        <f t="shared" si="16"/>
        <v>7.999999999999996</v>
      </c>
      <c r="AH15" s="122">
        <f t="shared" si="17"/>
        <v>1.0123564061323172E-05</v>
      </c>
      <c r="AI15" s="104">
        <v>29</v>
      </c>
      <c r="AJ15" s="106">
        <v>32</v>
      </c>
      <c r="AK15" s="104">
        <v>32.2</v>
      </c>
      <c r="AL15" s="105">
        <v>79.4</v>
      </c>
      <c r="AM15" s="116">
        <f t="shared" si="18"/>
        <v>251.75393377939872</v>
      </c>
      <c r="AN15" s="114">
        <f t="shared" si="19"/>
        <v>161.75393377939872</v>
      </c>
      <c r="AO15" s="117">
        <f t="shared" si="20"/>
        <v>8.239967168628482</v>
      </c>
      <c r="AP15" s="121"/>
      <c r="AQ15" s="124"/>
      <c r="AR15" s="121"/>
      <c r="AS15" s="106"/>
    </row>
    <row r="16" spans="1:45" ht="15">
      <c r="A16" s="104" t="s">
        <v>45</v>
      </c>
      <c r="B16" s="105" t="s">
        <v>101</v>
      </c>
      <c r="C16" s="105">
        <v>6</v>
      </c>
      <c r="D16" s="106">
        <v>1</v>
      </c>
      <c r="E16" s="107" t="s">
        <v>48</v>
      </c>
      <c r="F16" s="105"/>
      <c r="G16" s="108">
        <f>J16/100+139</f>
        <v>139.62</v>
      </c>
      <c r="H16" s="108">
        <f>K16/100+139</f>
        <v>139.63</v>
      </c>
      <c r="I16" s="109">
        <f t="shared" si="0"/>
        <v>139.625</v>
      </c>
      <c r="J16" s="110">
        <v>62</v>
      </c>
      <c r="K16" s="111">
        <v>63</v>
      </c>
      <c r="L16" s="106">
        <f t="shared" si="1"/>
        <v>62.5</v>
      </c>
      <c r="M16" s="104">
        <v>90</v>
      </c>
      <c r="N16" s="105">
        <v>8</v>
      </c>
      <c r="O16" s="105">
        <v>0</v>
      </c>
      <c r="P16" s="105">
        <v>4</v>
      </c>
      <c r="Q16" s="105"/>
      <c r="R16" s="106"/>
      <c r="S16" s="112">
        <f t="shared" si="2"/>
        <v>0.06907760853681702</v>
      </c>
      <c r="T16" s="113">
        <f t="shared" si="3"/>
        <v>0.1388340822809423</v>
      </c>
      <c r="U16" s="113">
        <f t="shared" si="4"/>
        <v>-0.9878558254968149</v>
      </c>
      <c r="V16" s="114">
        <f t="shared" si="5"/>
        <v>63.547123403141434</v>
      </c>
      <c r="W16" s="115">
        <f t="shared" si="6"/>
        <v>-81.07873627708044</v>
      </c>
      <c r="X16" s="116">
        <f t="shared" si="7"/>
        <v>63.547123403141434</v>
      </c>
      <c r="Y16" s="114">
        <f t="shared" si="8"/>
        <v>333.5471234031414</v>
      </c>
      <c r="Z16" s="117">
        <f t="shared" si="9"/>
        <v>8.921263722919562</v>
      </c>
      <c r="AA16" s="118">
        <f t="shared" si="10"/>
        <v>116.17577288937113</v>
      </c>
      <c r="AB16" s="119">
        <f t="shared" si="11"/>
        <v>116.17577288937113</v>
      </c>
      <c r="AC16" s="120">
        <f t="shared" si="12"/>
        <v>-0.441126414048225</v>
      </c>
      <c r="AD16" s="120">
        <f t="shared" si="13"/>
        <v>0.8865880299203873</v>
      </c>
      <c r="AE16" s="120">
        <f t="shared" si="14"/>
        <v>0.13917310096006477</v>
      </c>
      <c r="AF16" s="121">
        <f t="shared" si="15"/>
        <v>89.99999999999997</v>
      </c>
      <c r="AG16" s="119">
        <f t="shared" si="16"/>
        <v>7.99999999999996</v>
      </c>
      <c r="AH16" s="122">
        <f t="shared" si="17"/>
        <v>-1.870115307444926E-05</v>
      </c>
      <c r="AI16" s="104">
        <v>83</v>
      </c>
      <c r="AJ16" s="106">
        <v>87</v>
      </c>
      <c r="AK16" s="104">
        <v>198.9</v>
      </c>
      <c r="AL16" s="105">
        <v>69.9</v>
      </c>
      <c r="AM16" s="116">
        <f t="shared" si="18"/>
        <v>224.64712340314142</v>
      </c>
      <c r="AN16" s="114">
        <f t="shared" si="19"/>
        <v>134.64712340314142</v>
      </c>
      <c r="AO16" s="117">
        <f t="shared" si="20"/>
        <v>8.921263722919562</v>
      </c>
      <c r="AP16" s="121"/>
      <c r="AQ16" s="124"/>
      <c r="AR16" s="121"/>
      <c r="AS16" s="106"/>
    </row>
    <row r="17" spans="1:45" ht="15">
      <c r="A17" s="104" t="s">
        <v>45</v>
      </c>
      <c r="B17" s="105" t="s">
        <v>101</v>
      </c>
      <c r="C17" s="105">
        <v>6</v>
      </c>
      <c r="D17" s="106">
        <v>2</v>
      </c>
      <c r="E17" s="107" t="s">
        <v>48</v>
      </c>
      <c r="F17" s="105"/>
      <c r="G17" s="108">
        <f>J17/100+140.05</f>
        <v>140.49</v>
      </c>
      <c r="H17" s="108">
        <f>K17/100+140.05</f>
        <v>140.5</v>
      </c>
      <c r="I17" s="109">
        <f t="shared" si="0"/>
        <v>140.495</v>
      </c>
      <c r="J17" s="110">
        <v>44</v>
      </c>
      <c r="K17" s="111">
        <v>45</v>
      </c>
      <c r="L17" s="106">
        <f t="shared" si="1"/>
        <v>44.5</v>
      </c>
      <c r="M17" s="104">
        <v>90</v>
      </c>
      <c r="N17" s="105">
        <v>6</v>
      </c>
      <c r="O17" s="105">
        <v>0</v>
      </c>
      <c r="P17" s="105">
        <v>2</v>
      </c>
      <c r="Q17" s="105"/>
      <c r="R17" s="106"/>
      <c r="S17" s="112">
        <f t="shared" si="2"/>
        <v>0.03470831360797007</v>
      </c>
      <c r="T17" s="113">
        <f t="shared" si="3"/>
        <v>0.10446478735209536</v>
      </c>
      <c r="U17" s="113">
        <f t="shared" si="4"/>
        <v>-0.9939160595006973</v>
      </c>
      <c r="V17" s="114">
        <f t="shared" si="5"/>
        <v>71.62098802250347</v>
      </c>
      <c r="W17" s="115">
        <f t="shared" si="6"/>
        <v>-83.68004299396074</v>
      </c>
      <c r="X17" s="116">
        <f t="shared" si="7"/>
        <v>71.62098802250347</v>
      </c>
      <c r="Y17" s="114">
        <f t="shared" si="8"/>
        <v>341.62098802250347</v>
      </c>
      <c r="Z17" s="117">
        <f t="shared" si="9"/>
        <v>6.31995700603926</v>
      </c>
      <c r="AA17" s="118">
        <f t="shared" si="10"/>
        <v>108.27475970547137</v>
      </c>
      <c r="AB17" s="119">
        <f t="shared" si="11"/>
        <v>108.27475970547137</v>
      </c>
      <c r="AC17" s="120">
        <f t="shared" si="12"/>
        <v>-0.3135741786743794</v>
      </c>
      <c r="AD17" s="120">
        <f t="shared" si="13"/>
        <v>0.943792898275671</v>
      </c>
      <c r="AE17" s="120">
        <f t="shared" si="14"/>
        <v>0.10452846326765401</v>
      </c>
      <c r="AF17" s="121">
        <f t="shared" si="15"/>
        <v>90.00000000000001</v>
      </c>
      <c r="AG17" s="119">
        <f t="shared" si="16"/>
        <v>6.000000000000032</v>
      </c>
      <c r="AH17" s="122">
        <f t="shared" si="17"/>
        <v>-9.984519862627435E-06</v>
      </c>
      <c r="AI17" s="104">
        <v>52</v>
      </c>
      <c r="AJ17" s="106">
        <v>58</v>
      </c>
      <c r="AK17" s="104">
        <v>6.7</v>
      </c>
      <c r="AL17" s="105">
        <v>75.8</v>
      </c>
      <c r="AM17" s="116">
        <f t="shared" si="18"/>
        <v>64.92098802250347</v>
      </c>
      <c r="AN17" s="114">
        <f t="shared" si="19"/>
        <v>334.9209880225035</v>
      </c>
      <c r="AO17" s="117">
        <f t="shared" si="20"/>
        <v>6.31995700603926</v>
      </c>
      <c r="AP17" s="121"/>
      <c r="AQ17" s="124"/>
      <c r="AR17" s="121"/>
      <c r="AS17" s="106"/>
    </row>
    <row r="18" spans="1:45" ht="15">
      <c r="A18" s="104" t="s">
        <v>45</v>
      </c>
      <c r="B18" s="105" t="s">
        <v>101</v>
      </c>
      <c r="C18" s="105">
        <v>6</v>
      </c>
      <c r="D18" s="106">
        <v>3</v>
      </c>
      <c r="E18" s="107" t="s">
        <v>48</v>
      </c>
      <c r="F18" s="105"/>
      <c r="G18" s="108">
        <f>J18/100+140.7</f>
        <v>140.88</v>
      </c>
      <c r="H18" s="108">
        <f>K18/100+140.7</f>
        <v>140.89</v>
      </c>
      <c r="I18" s="109">
        <f t="shared" si="0"/>
        <v>140.885</v>
      </c>
      <c r="J18" s="110">
        <v>18</v>
      </c>
      <c r="K18" s="111">
        <v>19</v>
      </c>
      <c r="L18" s="106">
        <f t="shared" si="1"/>
        <v>18.5</v>
      </c>
      <c r="M18" s="104">
        <v>90</v>
      </c>
      <c r="N18" s="105">
        <v>4</v>
      </c>
      <c r="O18" s="105">
        <v>0</v>
      </c>
      <c r="P18" s="105">
        <v>2</v>
      </c>
      <c r="Q18" s="105"/>
      <c r="R18" s="106"/>
      <c r="S18" s="112">
        <f t="shared" si="2"/>
        <v>0.03481448328257625</v>
      </c>
      <c r="T18" s="113">
        <f t="shared" si="3"/>
        <v>0.06971397998507722</v>
      </c>
      <c r="U18" s="113">
        <f t="shared" si="4"/>
        <v>-0.9969563611936845</v>
      </c>
      <c r="V18" s="114">
        <f t="shared" si="5"/>
        <v>63.462903606419225</v>
      </c>
      <c r="W18" s="115">
        <f t="shared" si="6"/>
        <v>-85.53076266752878</v>
      </c>
      <c r="X18" s="116">
        <f t="shared" si="7"/>
        <v>63.462903606419225</v>
      </c>
      <c r="Y18" s="114">
        <f t="shared" si="8"/>
        <v>333.4629036064192</v>
      </c>
      <c r="Z18" s="117">
        <f t="shared" si="9"/>
        <v>4.469237332471224</v>
      </c>
      <c r="AA18" s="118">
        <f t="shared" si="10"/>
        <v>116.46741781515533</v>
      </c>
      <c r="AB18" s="119">
        <f t="shared" si="11"/>
        <v>116.46741781515533</v>
      </c>
      <c r="AC18" s="120">
        <f t="shared" si="12"/>
        <v>-0.44568882188682285</v>
      </c>
      <c r="AD18" s="120">
        <f t="shared" si="13"/>
        <v>0.8924659704526111</v>
      </c>
      <c r="AE18" s="120">
        <f t="shared" si="14"/>
        <v>0.06975647374412539</v>
      </c>
      <c r="AF18" s="121">
        <f t="shared" si="15"/>
        <v>90</v>
      </c>
      <c r="AG18" s="119">
        <f t="shared" si="16"/>
        <v>4.000000000000005</v>
      </c>
      <c r="AH18" s="122">
        <f t="shared" si="17"/>
        <v>-9.470360440068982E-06</v>
      </c>
      <c r="AI18" s="104">
        <v>22</v>
      </c>
      <c r="AJ18" s="106">
        <v>26</v>
      </c>
      <c r="AK18" s="104">
        <v>220.9</v>
      </c>
      <c r="AL18" s="105">
        <v>70</v>
      </c>
      <c r="AM18" s="116">
        <f t="shared" si="18"/>
        <v>202.5629036064192</v>
      </c>
      <c r="AN18" s="114">
        <f t="shared" si="19"/>
        <v>112.56290360641921</v>
      </c>
      <c r="AO18" s="117">
        <f t="shared" si="20"/>
        <v>4.469237332471224</v>
      </c>
      <c r="AP18" s="121"/>
      <c r="AQ18" s="124"/>
      <c r="AR18" s="121"/>
      <c r="AS18" s="106"/>
    </row>
    <row r="19" spans="1:45" ht="15">
      <c r="A19" s="104" t="s">
        <v>45</v>
      </c>
      <c r="B19" s="105" t="s">
        <v>101</v>
      </c>
      <c r="C19" s="105">
        <v>6</v>
      </c>
      <c r="D19" s="106">
        <v>5</v>
      </c>
      <c r="E19" s="107" t="s">
        <v>48</v>
      </c>
      <c r="F19" s="105"/>
      <c r="G19" s="108">
        <f>J19/100+142.42</f>
        <v>143.07999999999998</v>
      </c>
      <c r="H19" s="108">
        <f>K19/100+142.42</f>
        <v>143.08999999999997</v>
      </c>
      <c r="I19" s="109">
        <f t="shared" si="0"/>
        <v>143.08499999999998</v>
      </c>
      <c r="J19" s="110">
        <v>66</v>
      </c>
      <c r="K19" s="111">
        <v>67</v>
      </c>
      <c r="L19" s="106">
        <f t="shared" si="1"/>
        <v>66.5</v>
      </c>
      <c r="M19" s="104">
        <v>90</v>
      </c>
      <c r="N19" s="105">
        <v>2</v>
      </c>
      <c r="O19" s="105">
        <v>0</v>
      </c>
      <c r="P19" s="105">
        <v>2</v>
      </c>
      <c r="Q19" s="105"/>
      <c r="R19" s="106"/>
      <c r="S19" s="112">
        <f t="shared" si="2"/>
        <v>0.03487823687206265</v>
      </c>
      <c r="T19" s="113">
        <f t="shared" si="3"/>
        <v>0.03487823687206265</v>
      </c>
      <c r="U19" s="113">
        <f t="shared" si="4"/>
        <v>-0.9987820251299122</v>
      </c>
      <c r="V19" s="114">
        <f t="shared" si="5"/>
        <v>45</v>
      </c>
      <c r="W19" s="115">
        <f t="shared" si="6"/>
        <v>-87.17272054092648</v>
      </c>
      <c r="X19" s="116">
        <f t="shared" si="7"/>
        <v>45</v>
      </c>
      <c r="Y19" s="114">
        <f t="shared" si="8"/>
        <v>315</v>
      </c>
      <c r="Z19" s="117">
        <f t="shared" si="9"/>
        <v>2.827279459073523</v>
      </c>
      <c r="AA19" s="118">
        <f t="shared" si="10"/>
        <v>134.96510758156853</v>
      </c>
      <c r="AB19" s="119">
        <f t="shared" si="11"/>
        <v>134.96510758156853</v>
      </c>
      <c r="AC19" s="120">
        <f t="shared" si="12"/>
        <v>-0.706676030840834</v>
      </c>
      <c r="AD19" s="120">
        <f t="shared" si="13"/>
        <v>0.706676030840835</v>
      </c>
      <c r="AE19" s="120">
        <f t="shared" si="14"/>
        <v>0.03489949670250033</v>
      </c>
      <c r="AF19" s="121">
        <f t="shared" si="15"/>
        <v>89.99999999999997</v>
      </c>
      <c r="AG19" s="119">
        <f t="shared" si="16"/>
        <v>1.9999999999999636</v>
      </c>
      <c r="AH19" s="122">
        <f t="shared" si="17"/>
        <v>-7.51247815592114E-06</v>
      </c>
      <c r="AI19" s="104">
        <v>68</v>
      </c>
      <c r="AJ19" s="106">
        <v>73</v>
      </c>
      <c r="AK19" s="104">
        <v>299.3</v>
      </c>
      <c r="AL19" s="105">
        <v>73.9</v>
      </c>
      <c r="AM19" s="116">
        <f t="shared" si="18"/>
        <v>105.69999999999999</v>
      </c>
      <c r="AN19" s="114">
        <f t="shared" si="19"/>
        <v>15.699999999999989</v>
      </c>
      <c r="AO19" s="117">
        <f t="shared" si="20"/>
        <v>2.827279459073523</v>
      </c>
      <c r="AP19" s="121"/>
      <c r="AQ19" s="124"/>
      <c r="AR19" s="121"/>
      <c r="AS19" s="106"/>
    </row>
    <row r="20" spans="1:45" ht="15">
      <c r="A20" s="104" t="s">
        <v>45</v>
      </c>
      <c r="B20" s="105" t="s">
        <v>101</v>
      </c>
      <c r="C20" s="105">
        <v>7</v>
      </c>
      <c r="D20" s="106">
        <v>1</v>
      </c>
      <c r="E20" s="107" t="s">
        <v>48</v>
      </c>
      <c r="F20" s="105"/>
      <c r="G20" s="108">
        <f>J20/100+148.5</f>
        <v>148.99</v>
      </c>
      <c r="H20" s="108">
        <f>K20/100+148.5</f>
        <v>149.01</v>
      </c>
      <c r="I20" s="109">
        <f t="shared" si="0"/>
        <v>149</v>
      </c>
      <c r="J20" s="110">
        <v>49</v>
      </c>
      <c r="K20" s="111">
        <v>51</v>
      </c>
      <c r="L20" s="106">
        <f t="shared" si="1"/>
        <v>50</v>
      </c>
      <c r="M20" s="104">
        <v>90</v>
      </c>
      <c r="N20" s="105">
        <v>24</v>
      </c>
      <c r="O20" s="105">
        <v>0</v>
      </c>
      <c r="P20" s="105">
        <v>5</v>
      </c>
      <c r="Q20" s="105"/>
      <c r="R20" s="106"/>
      <c r="S20" s="112">
        <f t="shared" si="2"/>
        <v>0.07962073289459017</v>
      </c>
      <c r="T20" s="113">
        <f t="shared" si="3"/>
        <v>0.4051888873517468</v>
      </c>
      <c r="U20" s="113">
        <f t="shared" si="4"/>
        <v>-0.9100691413693562</v>
      </c>
      <c r="V20" s="114">
        <f t="shared" si="5"/>
        <v>78.88286698975021</v>
      </c>
      <c r="W20" s="115">
        <f t="shared" si="6"/>
        <v>-65.59415392943757</v>
      </c>
      <c r="X20" s="116">
        <f t="shared" si="7"/>
        <v>78.88286698975021</v>
      </c>
      <c r="Y20" s="114">
        <f t="shared" si="8"/>
        <v>348.8828669897502</v>
      </c>
      <c r="Z20" s="117">
        <f t="shared" si="9"/>
        <v>24.405846070562433</v>
      </c>
      <c r="AA20" s="118">
        <f t="shared" si="10"/>
        <v>100.14533328752088</v>
      </c>
      <c r="AB20" s="119">
        <f t="shared" si="11"/>
        <v>100.14533328752088</v>
      </c>
      <c r="AC20" s="120">
        <f t="shared" si="12"/>
        <v>-0.17614562492860933</v>
      </c>
      <c r="AD20" s="120">
        <f t="shared" si="13"/>
        <v>0.8964028235106909</v>
      </c>
      <c r="AE20" s="120">
        <f t="shared" si="14"/>
        <v>0.40673664307580015</v>
      </c>
      <c r="AF20" s="121">
        <f t="shared" si="15"/>
        <v>90</v>
      </c>
      <c r="AG20" s="119">
        <f t="shared" si="16"/>
        <v>24</v>
      </c>
      <c r="AH20" s="122">
        <f t="shared" si="17"/>
        <v>-2.182406085920693E-05</v>
      </c>
      <c r="AI20" s="104">
        <v>42</v>
      </c>
      <c r="AJ20" s="106">
        <v>53</v>
      </c>
      <c r="AK20" s="104">
        <v>197.4</v>
      </c>
      <c r="AL20" s="105">
        <v>71</v>
      </c>
      <c r="AM20" s="116">
        <f t="shared" si="18"/>
        <v>241.48286698975022</v>
      </c>
      <c r="AN20" s="114">
        <f t="shared" si="19"/>
        <v>151.48286698975022</v>
      </c>
      <c r="AO20" s="117">
        <f t="shared" si="20"/>
        <v>24.405846070562433</v>
      </c>
      <c r="AP20" s="121"/>
      <c r="AQ20" s="124"/>
      <c r="AR20" s="121"/>
      <c r="AS20" s="106"/>
    </row>
    <row r="21" spans="1:45" ht="15">
      <c r="A21" s="104" t="s">
        <v>45</v>
      </c>
      <c r="B21" s="105" t="s">
        <v>101</v>
      </c>
      <c r="C21" s="105">
        <v>7</v>
      </c>
      <c r="D21" s="106">
        <v>2</v>
      </c>
      <c r="E21" s="107" t="s">
        <v>48</v>
      </c>
      <c r="F21" s="105"/>
      <c r="G21" s="108">
        <f>J21/100+149.905</f>
        <v>150.565</v>
      </c>
      <c r="H21" s="108">
        <f>K21/100+149.905</f>
        <v>150.565</v>
      </c>
      <c r="I21" s="109">
        <f t="shared" si="0"/>
        <v>150.565</v>
      </c>
      <c r="J21" s="110">
        <v>66</v>
      </c>
      <c r="K21" s="111">
        <v>66</v>
      </c>
      <c r="L21" s="106">
        <f t="shared" si="1"/>
        <v>66</v>
      </c>
      <c r="M21" s="104">
        <v>270</v>
      </c>
      <c r="N21" s="105">
        <v>5</v>
      </c>
      <c r="O21" s="105">
        <v>0</v>
      </c>
      <c r="P21" s="105">
        <v>1</v>
      </c>
      <c r="Q21" s="105"/>
      <c r="R21" s="106"/>
      <c r="S21" s="112">
        <f t="shared" si="2"/>
        <v>-0.017385994761764084</v>
      </c>
      <c r="T21" s="113">
        <f t="shared" si="3"/>
        <v>0.08714246850588939</v>
      </c>
      <c r="U21" s="113">
        <f t="shared" si="4"/>
        <v>0.9960429728140489</v>
      </c>
      <c r="V21" s="114">
        <f t="shared" si="5"/>
        <v>101.28306182052997</v>
      </c>
      <c r="W21" s="115">
        <f t="shared" si="6"/>
        <v>84.90197245232007</v>
      </c>
      <c r="X21" s="116">
        <f t="shared" si="7"/>
        <v>281.28306182052995</v>
      </c>
      <c r="Y21" s="114">
        <f t="shared" si="8"/>
        <v>191.28306182052995</v>
      </c>
      <c r="Z21" s="117">
        <f t="shared" si="9"/>
        <v>5.0980275476799335</v>
      </c>
      <c r="AA21" s="118">
        <f t="shared" si="10"/>
        <v>78.76043410652089</v>
      </c>
      <c r="AB21" s="119">
        <f t="shared" si="11"/>
        <v>78.76043410652089</v>
      </c>
      <c r="AC21" s="120">
        <f t="shared" si="12"/>
        <v>0.19491170845208045</v>
      </c>
      <c r="AD21" s="120">
        <f t="shared" si="13"/>
        <v>0.9769407875682105</v>
      </c>
      <c r="AE21" s="120">
        <f t="shared" si="14"/>
        <v>0.08715574274765796</v>
      </c>
      <c r="AF21" s="121">
        <f t="shared" si="15"/>
        <v>270</v>
      </c>
      <c r="AG21" s="119">
        <f t="shared" si="16"/>
        <v>4.9999999999999885</v>
      </c>
      <c r="AH21" s="122">
        <f t="shared" si="17"/>
        <v>5.174729664990412E-06</v>
      </c>
      <c r="AI21" s="104">
        <v>60</v>
      </c>
      <c r="AJ21" s="106">
        <v>68</v>
      </c>
      <c r="AK21" s="104">
        <v>193.6</v>
      </c>
      <c r="AL21" s="105">
        <v>64.3</v>
      </c>
      <c r="AM21" s="116">
        <f t="shared" si="18"/>
        <v>87.68306182052996</v>
      </c>
      <c r="AN21" s="114">
        <f t="shared" si="19"/>
        <v>357.68306182052993</v>
      </c>
      <c r="AO21" s="117">
        <f t="shared" si="20"/>
        <v>5.0980275476799335</v>
      </c>
      <c r="AP21" s="121"/>
      <c r="AQ21" s="124"/>
      <c r="AR21" s="121"/>
      <c r="AS21" s="106"/>
    </row>
    <row r="22" spans="1:45" ht="15">
      <c r="A22" s="104" t="s">
        <v>45</v>
      </c>
      <c r="B22" s="105" t="s">
        <v>101</v>
      </c>
      <c r="C22" s="105">
        <v>7</v>
      </c>
      <c r="D22" s="106">
        <v>5</v>
      </c>
      <c r="E22" s="107" t="s">
        <v>48</v>
      </c>
      <c r="F22" s="105"/>
      <c r="G22" s="108">
        <f>J22/100+152.885</f>
        <v>153.61499999999998</v>
      </c>
      <c r="H22" s="108">
        <f>K22/100+152.885</f>
        <v>153.625</v>
      </c>
      <c r="I22" s="109">
        <f t="shared" si="0"/>
        <v>153.62</v>
      </c>
      <c r="J22" s="110">
        <v>73</v>
      </c>
      <c r="K22" s="111">
        <v>74</v>
      </c>
      <c r="L22" s="106">
        <f t="shared" si="1"/>
        <v>73.5</v>
      </c>
      <c r="M22" s="104">
        <v>270</v>
      </c>
      <c r="N22" s="105">
        <v>3</v>
      </c>
      <c r="O22" s="105">
        <v>180</v>
      </c>
      <c r="P22" s="105">
        <v>4</v>
      </c>
      <c r="Q22" s="105"/>
      <c r="R22" s="106"/>
      <c r="S22" s="112">
        <f t="shared" si="2"/>
        <v>-0.06966087492121549</v>
      </c>
      <c r="T22" s="113">
        <f t="shared" si="3"/>
        <v>-0.052208468483931965</v>
      </c>
      <c r="U22" s="113">
        <f t="shared" si="4"/>
        <v>-0.9961969233988566</v>
      </c>
      <c r="V22" s="114">
        <f t="shared" si="5"/>
        <v>216.85031711940061</v>
      </c>
      <c r="W22" s="115">
        <f t="shared" si="6"/>
        <v>-85.00583060689412</v>
      </c>
      <c r="X22" s="116">
        <f t="shared" si="7"/>
        <v>216.85031711940061</v>
      </c>
      <c r="Y22" s="114">
        <f t="shared" si="8"/>
        <v>126.85031711940061</v>
      </c>
      <c r="Z22" s="117">
        <f t="shared" si="9"/>
        <v>4.994169393105878</v>
      </c>
      <c r="AA22" s="118">
        <f t="shared" si="10"/>
        <v>143.04503991714247</v>
      </c>
      <c r="AB22" s="119">
        <f t="shared" si="11"/>
        <v>143.04503991714247</v>
      </c>
      <c r="AC22" s="120">
        <f t="shared" si="12"/>
        <v>-0.799108346931855</v>
      </c>
      <c r="AD22" s="120">
        <f t="shared" si="13"/>
        <v>0.5989046648240226</v>
      </c>
      <c r="AE22" s="120">
        <f t="shared" si="14"/>
        <v>0.052335956242943356</v>
      </c>
      <c r="AF22" s="121">
        <f t="shared" si="15"/>
        <v>270</v>
      </c>
      <c r="AG22" s="119">
        <f t="shared" si="16"/>
        <v>2.9999999999999734</v>
      </c>
      <c r="AH22" s="122">
        <f t="shared" si="17"/>
        <v>-1.2739325241560354E-05</v>
      </c>
      <c r="AI22" s="104">
        <v>63</v>
      </c>
      <c r="AJ22" s="106">
        <v>78</v>
      </c>
      <c r="AK22" s="104">
        <v>123</v>
      </c>
      <c r="AL22" s="105">
        <v>73.8</v>
      </c>
      <c r="AM22" s="116">
        <f t="shared" si="18"/>
        <v>93.85031711940061</v>
      </c>
      <c r="AN22" s="114">
        <f t="shared" si="19"/>
        <v>3.8503171194006143</v>
      </c>
      <c r="AO22" s="117">
        <f t="shared" si="20"/>
        <v>4.994169393105878</v>
      </c>
      <c r="AP22" s="121"/>
      <c r="AQ22" s="124"/>
      <c r="AR22" s="121"/>
      <c r="AS22" s="106"/>
    </row>
    <row r="23" spans="1:45" ht="15">
      <c r="A23" s="104" t="s">
        <v>45</v>
      </c>
      <c r="B23" s="105" t="s">
        <v>101</v>
      </c>
      <c r="C23" s="105">
        <v>8</v>
      </c>
      <c r="D23" s="106">
        <v>4</v>
      </c>
      <c r="E23" s="107" t="s">
        <v>48</v>
      </c>
      <c r="F23" s="105"/>
      <c r="G23" s="108">
        <f>J23/100+161.115</f>
        <v>162.245</v>
      </c>
      <c r="H23" s="108">
        <f>K23/100+161.115</f>
        <v>162.245</v>
      </c>
      <c r="I23" s="109">
        <f t="shared" si="0"/>
        <v>162.245</v>
      </c>
      <c r="J23" s="110">
        <v>113</v>
      </c>
      <c r="K23" s="111">
        <v>113</v>
      </c>
      <c r="L23" s="106">
        <f t="shared" si="1"/>
        <v>113</v>
      </c>
      <c r="M23" s="104">
        <v>270</v>
      </c>
      <c r="N23" s="105">
        <v>2</v>
      </c>
      <c r="O23" s="105">
        <v>0</v>
      </c>
      <c r="P23" s="105">
        <v>3</v>
      </c>
      <c r="Q23" s="105"/>
      <c r="R23" s="106"/>
      <c r="S23" s="112">
        <f t="shared" si="2"/>
        <v>-0.05230407459247084</v>
      </c>
      <c r="T23" s="113">
        <f t="shared" si="3"/>
        <v>0.03485166815518733</v>
      </c>
      <c r="U23" s="113">
        <f t="shared" si="4"/>
        <v>0.9980211966240684</v>
      </c>
      <c r="V23" s="114">
        <f t="shared" si="5"/>
        <v>146.32336918625154</v>
      </c>
      <c r="W23" s="115">
        <f t="shared" si="6"/>
        <v>86.39647307521291</v>
      </c>
      <c r="X23" s="116">
        <f t="shared" si="7"/>
        <v>326.3233691862515</v>
      </c>
      <c r="Y23" s="114">
        <f t="shared" si="8"/>
        <v>236.3233691862515</v>
      </c>
      <c r="Z23" s="117">
        <f t="shared" si="9"/>
        <v>3.60352692478709</v>
      </c>
      <c r="AA23" s="118">
        <f t="shared" si="10"/>
        <v>33.72897610862148</v>
      </c>
      <c r="AB23" s="119">
        <f t="shared" si="11"/>
        <v>33.72897610862148</v>
      </c>
      <c r="AC23" s="120">
        <f t="shared" si="12"/>
        <v>0.8316734151116564</v>
      </c>
      <c r="AD23" s="120">
        <f t="shared" si="13"/>
        <v>0.5541672633117429</v>
      </c>
      <c r="AE23" s="120">
        <f t="shared" si="14"/>
        <v>0.03489949670250107</v>
      </c>
      <c r="AF23" s="121">
        <f t="shared" si="15"/>
        <v>270</v>
      </c>
      <c r="AG23" s="119">
        <f t="shared" si="16"/>
        <v>2.0000000000000058</v>
      </c>
      <c r="AH23" s="122">
        <f t="shared" si="17"/>
        <v>8.841204591080023E-06</v>
      </c>
      <c r="AI23" s="104">
        <v>110</v>
      </c>
      <c r="AJ23" s="106">
        <v>116</v>
      </c>
      <c r="AK23" s="104">
        <v>343.5</v>
      </c>
      <c r="AL23" s="105">
        <v>47.6</v>
      </c>
      <c r="AM23" s="116">
        <f t="shared" si="18"/>
        <v>342.8233691862515</v>
      </c>
      <c r="AN23" s="114">
        <f t="shared" si="19"/>
        <v>252.8233691862515</v>
      </c>
      <c r="AO23" s="117">
        <f t="shared" si="20"/>
        <v>3.60352692478709</v>
      </c>
      <c r="AP23" s="121"/>
      <c r="AQ23" s="124"/>
      <c r="AR23" s="121"/>
      <c r="AS23" s="106"/>
    </row>
    <row r="24" spans="1:45" ht="15">
      <c r="A24" s="104" t="s">
        <v>45</v>
      </c>
      <c r="B24" s="105" t="s">
        <v>101</v>
      </c>
      <c r="C24" s="105">
        <v>8</v>
      </c>
      <c r="D24" s="106">
        <v>5</v>
      </c>
      <c r="E24" s="107" t="s">
        <v>48</v>
      </c>
      <c r="F24" s="105"/>
      <c r="G24" s="108">
        <f>J24/100+162.52</f>
        <v>163.67000000000002</v>
      </c>
      <c r="H24" s="108">
        <f>K24/100+162.52</f>
        <v>163.69</v>
      </c>
      <c r="I24" s="109">
        <f t="shared" si="0"/>
        <v>163.68</v>
      </c>
      <c r="J24" s="110">
        <v>115</v>
      </c>
      <c r="K24" s="111">
        <v>117</v>
      </c>
      <c r="L24" s="106">
        <f t="shared" si="1"/>
        <v>116</v>
      </c>
      <c r="M24" s="104">
        <v>90</v>
      </c>
      <c r="N24" s="105">
        <v>12</v>
      </c>
      <c r="O24" s="105">
        <v>180</v>
      </c>
      <c r="P24" s="105">
        <v>1</v>
      </c>
      <c r="Q24" s="105"/>
      <c r="R24" s="106"/>
      <c r="S24" s="112">
        <f t="shared" si="2"/>
        <v>0.01707102948366007</v>
      </c>
      <c r="T24" s="113">
        <f t="shared" si="3"/>
        <v>-0.20788002486020488</v>
      </c>
      <c r="U24" s="113">
        <f t="shared" si="4"/>
        <v>0.9779986241164497</v>
      </c>
      <c r="V24" s="114">
        <f t="shared" si="5"/>
        <v>274.69457395481595</v>
      </c>
      <c r="W24" s="115">
        <f t="shared" si="6"/>
        <v>77.96078282984094</v>
      </c>
      <c r="X24" s="116">
        <f t="shared" si="7"/>
        <v>94.69457395481595</v>
      </c>
      <c r="Y24" s="114">
        <f t="shared" si="8"/>
        <v>4.694573954815951</v>
      </c>
      <c r="Z24" s="117">
        <f t="shared" si="9"/>
        <v>12.039217170159063</v>
      </c>
      <c r="AA24" s="118">
        <f t="shared" si="10"/>
        <v>85.40823642141378</v>
      </c>
      <c r="AB24" s="119">
        <f t="shared" si="11"/>
        <v>85.40823642141378</v>
      </c>
      <c r="AC24" s="120">
        <f t="shared" si="12"/>
        <v>0.08005563387328148</v>
      </c>
      <c r="AD24" s="120">
        <f t="shared" si="13"/>
        <v>0.9748660545461861</v>
      </c>
      <c r="AE24" s="120">
        <f t="shared" si="14"/>
        <v>0.20791169081775915</v>
      </c>
      <c r="AF24" s="121">
        <f t="shared" si="15"/>
        <v>90</v>
      </c>
      <c r="AG24" s="119">
        <f t="shared" si="16"/>
        <v>11.999999999999991</v>
      </c>
      <c r="AH24" s="122">
        <f t="shared" si="17"/>
        <v>5.070192536270496E-06</v>
      </c>
      <c r="AI24" s="104">
        <v>110</v>
      </c>
      <c r="AJ24" s="106">
        <v>117</v>
      </c>
      <c r="AK24" s="104">
        <v>311.4</v>
      </c>
      <c r="AL24" s="105">
        <v>82.4</v>
      </c>
      <c r="AM24" s="116">
        <f t="shared" si="18"/>
        <v>143.29457395481597</v>
      </c>
      <c r="AN24" s="114">
        <f t="shared" si="19"/>
        <v>53.294573954815974</v>
      </c>
      <c r="AO24" s="117">
        <f t="shared" si="20"/>
        <v>12.039217170159063</v>
      </c>
      <c r="AP24" s="121"/>
      <c r="AQ24" s="124"/>
      <c r="AR24" s="121"/>
      <c r="AS24" s="106"/>
    </row>
    <row r="25" spans="1:45" ht="15">
      <c r="A25" s="104" t="s">
        <v>45</v>
      </c>
      <c r="B25" s="105" t="s">
        <v>101</v>
      </c>
      <c r="C25" s="105">
        <v>9</v>
      </c>
      <c r="D25" s="106">
        <v>4</v>
      </c>
      <c r="E25" s="107" t="s">
        <v>48</v>
      </c>
      <c r="F25" s="105"/>
      <c r="G25" s="108">
        <f>J25/100+170.015</f>
        <v>170.475</v>
      </c>
      <c r="H25" s="108">
        <f>K25/100+170.015</f>
        <v>170.475</v>
      </c>
      <c r="I25" s="109">
        <f t="shared" si="0"/>
        <v>170.475</v>
      </c>
      <c r="J25" s="110">
        <v>46</v>
      </c>
      <c r="K25" s="111">
        <v>46</v>
      </c>
      <c r="L25" s="106">
        <f t="shared" si="1"/>
        <v>46</v>
      </c>
      <c r="M25" s="104">
        <v>90</v>
      </c>
      <c r="N25" s="105">
        <v>0</v>
      </c>
      <c r="O25" s="105">
        <v>0</v>
      </c>
      <c r="P25" s="105">
        <v>7</v>
      </c>
      <c r="Q25" s="105"/>
      <c r="R25" s="106"/>
      <c r="S25" s="112">
        <f t="shared" si="2"/>
        <v>0.12186934340514748</v>
      </c>
      <c r="T25" s="113">
        <f t="shared" si="3"/>
        <v>-7.465401888677223E-18</v>
      </c>
      <c r="U25" s="113">
        <f t="shared" si="4"/>
        <v>-0.992546151641322</v>
      </c>
      <c r="V25" s="114">
        <f t="shared" si="5"/>
        <v>360</v>
      </c>
      <c r="W25" s="115">
        <f t="shared" si="6"/>
        <v>-83.00000000000003</v>
      </c>
      <c r="X25" s="116">
        <f t="shared" si="7"/>
        <v>360</v>
      </c>
      <c r="Y25" s="114">
        <f t="shared" si="8"/>
        <v>270</v>
      </c>
      <c r="Z25" s="117">
        <f t="shared" si="9"/>
        <v>6.999999999999972</v>
      </c>
      <c r="AA25" s="118">
        <f t="shared" si="10"/>
        <v>0</v>
      </c>
      <c r="AB25" s="119">
        <f t="shared" si="11"/>
        <v>0</v>
      </c>
      <c r="AC25" s="120">
        <f t="shared" si="12"/>
        <v>1</v>
      </c>
      <c r="AD25" s="120">
        <f t="shared" si="13"/>
        <v>0</v>
      </c>
      <c r="AE25" s="120">
        <f t="shared" si="14"/>
        <v>0</v>
      </c>
      <c r="AF25" s="121">
        <f t="shared" si="15"/>
        <v>270</v>
      </c>
      <c r="AG25" s="119">
        <f t="shared" si="16"/>
        <v>0</v>
      </c>
      <c r="AH25" s="122">
        <f t="shared" si="17"/>
        <v>0</v>
      </c>
      <c r="AI25" s="104">
        <v>38</v>
      </c>
      <c r="AJ25" s="106">
        <v>49</v>
      </c>
      <c r="AK25" s="104">
        <v>330.9</v>
      </c>
      <c r="AL25" s="105">
        <v>38.5</v>
      </c>
      <c r="AM25" s="116">
        <f t="shared" si="18"/>
        <v>29.100000000000023</v>
      </c>
      <c r="AN25" s="114">
        <f t="shared" si="19"/>
        <v>299.1</v>
      </c>
      <c r="AO25" s="117">
        <f t="shared" si="20"/>
        <v>6.999999999999972</v>
      </c>
      <c r="AP25" s="121"/>
      <c r="AQ25" s="124"/>
      <c r="AR25" s="121"/>
      <c r="AS25" s="106"/>
    </row>
    <row r="26" spans="1:45" ht="15">
      <c r="A26" s="104" t="s">
        <v>45</v>
      </c>
      <c r="B26" s="105" t="s">
        <v>101</v>
      </c>
      <c r="C26" s="105">
        <v>9</v>
      </c>
      <c r="D26" s="106">
        <v>7</v>
      </c>
      <c r="E26" s="107" t="s">
        <v>48</v>
      </c>
      <c r="F26" s="105"/>
      <c r="G26" s="108">
        <f>J26/100+173.57</f>
        <v>174.305</v>
      </c>
      <c r="H26" s="108">
        <f>K26/100+173.57</f>
        <v>174.305</v>
      </c>
      <c r="I26" s="109">
        <f t="shared" si="0"/>
        <v>174.305</v>
      </c>
      <c r="J26" s="110">
        <v>73.5</v>
      </c>
      <c r="K26" s="111">
        <v>73.5</v>
      </c>
      <c r="L26" s="106">
        <f t="shared" si="1"/>
        <v>73.5</v>
      </c>
      <c r="M26" s="104">
        <v>270</v>
      </c>
      <c r="N26" s="105">
        <v>5</v>
      </c>
      <c r="O26" s="105">
        <v>0</v>
      </c>
      <c r="P26" s="105">
        <v>7</v>
      </c>
      <c r="Q26" s="105"/>
      <c r="R26" s="106"/>
      <c r="S26" s="112">
        <f t="shared" si="2"/>
        <v>-0.12140559376013015</v>
      </c>
      <c r="T26" s="113">
        <f t="shared" si="3"/>
        <v>0.0865060970576292</v>
      </c>
      <c r="U26" s="113">
        <f t="shared" si="4"/>
        <v>0.9887692138764507</v>
      </c>
      <c r="V26" s="114">
        <f t="shared" si="5"/>
        <v>144.5286843340475</v>
      </c>
      <c r="W26" s="115">
        <f t="shared" si="6"/>
        <v>81.42632981513503</v>
      </c>
      <c r="X26" s="116">
        <f t="shared" si="7"/>
        <v>324.5286843340475</v>
      </c>
      <c r="Y26" s="114">
        <f t="shared" si="8"/>
        <v>234.5286843340475</v>
      </c>
      <c r="Z26" s="117">
        <f t="shared" si="9"/>
        <v>8.573670184864966</v>
      </c>
      <c r="AA26" s="118">
        <f t="shared" si="10"/>
        <v>35.776166450822785</v>
      </c>
      <c r="AB26" s="119">
        <f t="shared" si="11"/>
        <v>35.776166450822785</v>
      </c>
      <c r="AC26" s="120">
        <f t="shared" si="12"/>
        <v>0.8113070759400467</v>
      </c>
      <c r="AD26" s="120">
        <f t="shared" si="13"/>
        <v>0.5780871085188765</v>
      </c>
      <c r="AE26" s="120">
        <f t="shared" si="14"/>
        <v>0.08715574274765793</v>
      </c>
      <c r="AF26" s="121">
        <f t="shared" si="15"/>
        <v>270</v>
      </c>
      <c r="AG26" s="119">
        <f t="shared" si="16"/>
        <v>4.999999999999987</v>
      </c>
      <c r="AH26" s="122">
        <f t="shared" si="17"/>
        <v>2.1538791223785593E-05</v>
      </c>
      <c r="AI26" s="104">
        <v>64</v>
      </c>
      <c r="AJ26" s="106">
        <v>77</v>
      </c>
      <c r="AK26" s="104">
        <v>60.2</v>
      </c>
      <c r="AL26" s="105">
        <v>44.9</v>
      </c>
      <c r="AM26" s="116">
        <f t="shared" si="18"/>
        <v>264.3286843340475</v>
      </c>
      <c r="AN26" s="114">
        <f t="shared" si="19"/>
        <v>174.32868433404752</v>
      </c>
      <c r="AO26" s="117">
        <f t="shared" si="20"/>
        <v>8.573670184864966</v>
      </c>
      <c r="AP26" s="121"/>
      <c r="AQ26" s="124"/>
      <c r="AR26" s="121"/>
      <c r="AS26" s="106"/>
    </row>
    <row r="27" spans="1:45" ht="15">
      <c r="A27" s="104" t="s">
        <v>45</v>
      </c>
      <c r="B27" s="105" t="s">
        <v>101</v>
      </c>
      <c r="C27" s="105">
        <v>10</v>
      </c>
      <c r="D27" s="106">
        <v>7</v>
      </c>
      <c r="E27" s="107" t="s">
        <v>48</v>
      </c>
      <c r="F27" s="105"/>
      <c r="G27" s="108">
        <f>J27/100+181.365</f>
        <v>182.255</v>
      </c>
      <c r="H27" s="108">
        <f>K27/100+181.365</f>
        <v>182.255</v>
      </c>
      <c r="I27" s="109">
        <f t="shared" si="0"/>
        <v>182.255</v>
      </c>
      <c r="J27" s="110">
        <v>89</v>
      </c>
      <c r="K27" s="111">
        <v>89</v>
      </c>
      <c r="L27" s="106">
        <f t="shared" si="1"/>
        <v>89</v>
      </c>
      <c r="M27" s="104">
        <v>270</v>
      </c>
      <c r="N27" s="105">
        <v>3</v>
      </c>
      <c r="O27" s="105">
        <v>180</v>
      </c>
      <c r="P27" s="105">
        <v>1</v>
      </c>
      <c r="Q27" s="105"/>
      <c r="R27" s="106"/>
      <c r="S27" s="112">
        <f t="shared" si="2"/>
        <v>-0.01742848852081217</v>
      </c>
      <c r="T27" s="113">
        <f t="shared" si="3"/>
        <v>-0.05232798522331313</v>
      </c>
      <c r="U27" s="113">
        <f t="shared" si="4"/>
        <v>-0.9984774386394599</v>
      </c>
      <c r="V27" s="114">
        <f t="shared" si="5"/>
        <v>251.57901920027496</v>
      </c>
      <c r="W27" s="115">
        <f t="shared" si="6"/>
        <v>-86.83829951329474</v>
      </c>
      <c r="X27" s="116">
        <f t="shared" si="7"/>
        <v>251.57901920027496</v>
      </c>
      <c r="Y27" s="114">
        <f t="shared" si="8"/>
        <v>161.57901920027496</v>
      </c>
      <c r="Z27" s="117">
        <f t="shared" si="9"/>
        <v>3.161700486705257</v>
      </c>
      <c r="AA27" s="118">
        <f t="shared" si="10"/>
        <v>108.39483009621738</v>
      </c>
      <c r="AB27" s="119">
        <f t="shared" si="11"/>
        <v>108.39483009621738</v>
      </c>
      <c r="AC27" s="120">
        <f t="shared" si="12"/>
        <v>-0.3155634168309187</v>
      </c>
      <c r="AD27" s="120">
        <f t="shared" si="13"/>
        <v>0.9474601192884757</v>
      </c>
      <c r="AE27" s="120">
        <f t="shared" si="14"/>
        <v>0.05233595624294187</v>
      </c>
      <c r="AF27" s="121">
        <f t="shared" si="15"/>
        <v>270</v>
      </c>
      <c r="AG27" s="119">
        <f t="shared" si="16"/>
        <v>2.9999999999998876</v>
      </c>
      <c r="AH27" s="122">
        <f t="shared" si="17"/>
        <v>-5.030825952614004E-06</v>
      </c>
      <c r="AI27" s="104">
        <v>84</v>
      </c>
      <c r="AJ27" s="106">
        <v>94</v>
      </c>
      <c r="AK27" s="104">
        <v>166.9</v>
      </c>
      <c r="AL27" s="105">
        <v>55.5</v>
      </c>
      <c r="AM27" s="116">
        <f t="shared" si="18"/>
        <v>84.67901920027495</v>
      </c>
      <c r="AN27" s="114">
        <f t="shared" si="19"/>
        <v>354.679019200275</v>
      </c>
      <c r="AO27" s="117">
        <f t="shared" si="20"/>
        <v>3.161700486705257</v>
      </c>
      <c r="AP27" s="121"/>
      <c r="AQ27" s="124"/>
      <c r="AR27" s="121"/>
      <c r="AS27" s="106"/>
    </row>
    <row r="28" spans="1:45" ht="15">
      <c r="A28" s="104" t="s">
        <v>45</v>
      </c>
      <c r="B28" s="105" t="s">
        <v>101</v>
      </c>
      <c r="C28" s="105">
        <v>11</v>
      </c>
      <c r="D28" s="106">
        <v>4</v>
      </c>
      <c r="E28" s="107" t="s">
        <v>48</v>
      </c>
      <c r="F28" s="105"/>
      <c r="G28" s="108">
        <f>J28/100+188.99</f>
        <v>189.99</v>
      </c>
      <c r="H28" s="108">
        <f>K28/100+188.99</f>
        <v>190</v>
      </c>
      <c r="I28" s="109">
        <f t="shared" si="0"/>
        <v>189.995</v>
      </c>
      <c r="J28" s="110">
        <v>100</v>
      </c>
      <c r="K28" s="111">
        <v>101</v>
      </c>
      <c r="L28" s="106">
        <f t="shared" si="1"/>
        <v>100.5</v>
      </c>
      <c r="M28" s="104">
        <v>270</v>
      </c>
      <c r="N28" s="105">
        <v>8</v>
      </c>
      <c r="O28" s="105">
        <v>180</v>
      </c>
      <c r="P28" s="105">
        <v>2</v>
      </c>
      <c r="Q28" s="105"/>
      <c r="R28" s="106"/>
      <c r="S28" s="112">
        <f t="shared" si="2"/>
        <v>-0.03455985719963845</v>
      </c>
      <c r="T28" s="113">
        <f t="shared" si="3"/>
        <v>-0.13908832046729191</v>
      </c>
      <c r="U28" s="113">
        <f t="shared" si="4"/>
        <v>-0.9896648241902408</v>
      </c>
      <c r="V28" s="114">
        <f t="shared" si="5"/>
        <v>256.0460662206013</v>
      </c>
      <c r="W28" s="115">
        <f t="shared" si="6"/>
        <v>-81.76003283137152</v>
      </c>
      <c r="X28" s="116">
        <f t="shared" si="7"/>
        <v>256.0460662206013</v>
      </c>
      <c r="Y28" s="114">
        <f t="shared" si="8"/>
        <v>166.0460662206013</v>
      </c>
      <c r="Z28" s="117">
        <f t="shared" si="9"/>
        <v>8.239967168628482</v>
      </c>
      <c r="AA28" s="118">
        <f t="shared" si="10"/>
        <v>103.81542638754536</v>
      </c>
      <c r="AB28" s="119">
        <f t="shared" si="11"/>
        <v>103.81542638754536</v>
      </c>
      <c r="AC28" s="120">
        <f t="shared" si="12"/>
        <v>-0.23879491834134528</v>
      </c>
      <c r="AD28" s="120">
        <f t="shared" si="13"/>
        <v>0.961045178409168</v>
      </c>
      <c r="AE28" s="120">
        <f t="shared" si="14"/>
        <v>0.13917310096006538</v>
      </c>
      <c r="AF28" s="121">
        <f t="shared" si="15"/>
        <v>270</v>
      </c>
      <c r="AG28" s="119">
        <f t="shared" si="16"/>
        <v>7.999999999999996</v>
      </c>
      <c r="AH28" s="122">
        <f t="shared" si="17"/>
        <v>-1.0123564061323175E-05</v>
      </c>
      <c r="AI28" s="104">
        <v>93</v>
      </c>
      <c r="AJ28" s="106">
        <v>115</v>
      </c>
      <c r="AK28" s="104">
        <v>268.3</v>
      </c>
      <c r="AL28" s="105">
        <v>70.4</v>
      </c>
      <c r="AM28" s="116">
        <f t="shared" si="18"/>
        <v>347.7460662206013</v>
      </c>
      <c r="AN28" s="114">
        <f t="shared" si="19"/>
        <v>257.7460662206013</v>
      </c>
      <c r="AO28" s="117">
        <f t="shared" si="20"/>
        <v>8.239967168628482</v>
      </c>
      <c r="AP28" s="121"/>
      <c r="AQ28" s="124"/>
      <c r="AR28" s="121"/>
      <c r="AS28" s="106"/>
    </row>
    <row r="29" spans="1:45" ht="15">
      <c r="A29" s="104" t="s">
        <v>45</v>
      </c>
      <c r="B29" s="105" t="s">
        <v>101</v>
      </c>
      <c r="C29" s="105">
        <v>11</v>
      </c>
      <c r="D29" s="106">
        <v>5</v>
      </c>
      <c r="E29" s="107" t="s">
        <v>48</v>
      </c>
      <c r="F29" s="105"/>
      <c r="G29" s="108">
        <f>J29/100+190.39</f>
        <v>191.32999999999998</v>
      </c>
      <c r="H29" s="108">
        <f>K29/100+190.39</f>
        <v>191.33999999999997</v>
      </c>
      <c r="I29" s="109">
        <f t="shared" si="0"/>
        <v>191.33499999999998</v>
      </c>
      <c r="J29" s="110">
        <v>94</v>
      </c>
      <c r="K29" s="111">
        <v>95</v>
      </c>
      <c r="L29" s="106">
        <f t="shared" si="1"/>
        <v>94.5</v>
      </c>
      <c r="M29" s="104">
        <v>90</v>
      </c>
      <c r="N29" s="105">
        <v>6</v>
      </c>
      <c r="O29" s="105">
        <v>180</v>
      </c>
      <c r="P29" s="105">
        <v>2</v>
      </c>
      <c r="Q29" s="105"/>
      <c r="R29" s="106"/>
      <c r="S29" s="112">
        <f t="shared" si="2"/>
        <v>0.034708313607970054</v>
      </c>
      <c r="T29" s="113">
        <f t="shared" si="3"/>
        <v>-0.10446478735209536</v>
      </c>
      <c r="U29" s="113">
        <f t="shared" si="4"/>
        <v>0.9939160595006973</v>
      </c>
      <c r="V29" s="114">
        <f t="shared" si="5"/>
        <v>288.37901197749653</v>
      </c>
      <c r="W29" s="115">
        <f t="shared" si="6"/>
        <v>83.68004299396074</v>
      </c>
      <c r="X29" s="116">
        <f t="shared" si="7"/>
        <v>108.37901197749653</v>
      </c>
      <c r="Y29" s="114">
        <f t="shared" si="8"/>
        <v>18.379011977496532</v>
      </c>
      <c r="Z29" s="117">
        <f t="shared" si="9"/>
        <v>6.31995700603926</v>
      </c>
      <c r="AA29" s="118">
        <f t="shared" si="10"/>
        <v>71.72524029452863</v>
      </c>
      <c r="AB29" s="119">
        <f t="shared" si="11"/>
        <v>71.72524029452863</v>
      </c>
      <c r="AC29" s="120">
        <f t="shared" si="12"/>
        <v>0.3135741786743793</v>
      </c>
      <c r="AD29" s="120">
        <f t="shared" si="13"/>
        <v>0.943792898275671</v>
      </c>
      <c r="AE29" s="120">
        <f t="shared" si="14"/>
        <v>0.10452846326765401</v>
      </c>
      <c r="AF29" s="121">
        <f t="shared" si="15"/>
        <v>90</v>
      </c>
      <c r="AG29" s="119">
        <f t="shared" si="16"/>
        <v>6.000000000000032</v>
      </c>
      <c r="AH29" s="122">
        <f t="shared" si="17"/>
        <v>9.984519862627433E-06</v>
      </c>
      <c r="AI29" s="104">
        <v>94</v>
      </c>
      <c r="AJ29" s="106">
        <v>99</v>
      </c>
      <c r="AK29" s="104">
        <v>129.7</v>
      </c>
      <c r="AL29" s="105">
        <v>54.4</v>
      </c>
      <c r="AM29" s="116">
        <f t="shared" si="18"/>
        <v>338.67901197749654</v>
      </c>
      <c r="AN29" s="114">
        <f t="shared" si="19"/>
        <v>248.67901197749654</v>
      </c>
      <c r="AO29" s="117">
        <f t="shared" si="20"/>
        <v>6.31995700603926</v>
      </c>
      <c r="AP29" s="121"/>
      <c r="AQ29" s="124"/>
      <c r="AR29" s="121"/>
      <c r="AS29" s="106"/>
    </row>
    <row r="30" spans="1:45" ht="15">
      <c r="A30" s="104" t="s">
        <v>45</v>
      </c>
      <c r="B30" s="105" t="s">
        <v>101</v>
      </c>
      <c r="C30" s="105">
        <v>13</v>
      </c>
      <c r="D30" s="106">
        <v>2</v>
      </c>
      <c r="E30" s="107" t="s">
        <v>48</v>
      </c>
      <c r="F30" s="105"/>
      <c r="G30" s="108">
        <f>J30/100+206.9</f>
        <v>207.46</v>
      </c>
      <c r="H30" s="108">
        <f>K30/100+206.9</f>
        <v>207.47</v>
      </c>
      <c r="I30" s="109">
        <f t="shared" si="0"/>
        <v>207.465</v>
      </c>
      <c r="J30" s="110">
        <v>56</v>
      </c>
      <c r="K30" s="111">
        <v>57</v>
      </c>
      <c r="L30" s="106">
        <f t="shared" si="1"/>
        <v>56.5</v>
      </c>
      <c r="M30" s="104">
        <v>90</v>
      </c>
      <c r="N30" s="105">
        <v>2</v>
      </c>
      <c r="O30" s="105">
        <v>0</v>
      </c>
      <c r="P30" s="105">
        <v>2</v>
      </c>
      <c r="Q30" s="105"/>
      <c r="R30" s="106"/>
      <c r="S30" s="112">
        <f t="shared" si="2"/>
        <v>0.03487823687206265</v>
      </c>
      <c r="T30" s="113">
        <f t="shared" si="3"/>
        <v>0.03487823687206265</v>
      </c>
      <c r="U30" s="113">
        <f t="shared" si="4"/>
        <v>-0.9987820251299122</v>
      </c>
      <c r="V30" s="114">
        <f t="shared" si="5"/>
        <v>45</v>
      </c>
      <c r="W30" s="115">
        <f t="shared" si="6"/>
        <v>-87.17272054092648</v>
      </c>
      <c r="X30" s="116">
        <f t="shared" si="7"/>
        <v>45</v>
      </c>
      <c r="Y30" s="114">
        <f t="shared" si="8"/>
        <v>315</v>
      </c>
      <c r="Z30" s="117">
        <f t="shared" si="9"/>
        <v>2.827279459073523</v>
      </c>
      <c r="AA30" s="118">
        <f t="shared" si="10"/>
        <v>134.96510758156853</v>
      </c>
      <c r="AB30" s="119">
        <f t="shared" si="11"/>
        <v>134.96510758156853</v>
      </c>
      <c r="AC30" s="120">
        <f t="shared" si="12"/>
        <v>-0.706676030840834</v>
      </c>
      <c r="AD30" s="120">
        <f t="shared" si="13"/>
        <v>0.706676030840835</v>
      </c>
      <c r="AE30" s="120">
        <f t="shared" si="14"/>
        <v>0.03489949670250033</v>
      </c>
      <c r="AF30" s="121">
        <f t="shared" si="15"/>
        <v>89.99999999999997</v>
      </c>
      <c r="AG30" s="119">
        <f t="shared" si="16"/>
        <v>1.9999999999999636</v>
      </c>
      <c r="AH30" s="122">
        <f t="shared" si="17"/>
        <v>-7.51247815592114E-06</v>
      </c>
      <c r="AI30" s="104">
        <v>48</v>
      </c>
      <c r="AJ30" s="106">
        <v>57</v>
      </c>
      <c r="AK30" s="104">
        <v>200.9</v>
      </c>
      <c r="AL30" s="105">
        <v>68.3</v>
      </c>
      <c r="AM30" s="116">
        <f t="shared" si="18"/>
        <v>204.1</v>
      </c>
      <c r="AN30" s="114">
        <f t="shared" si="19"/>
        <v>114.1</v>
      </c>
      <c r="AO30" s="117">
        <f t="shared" si="20"/>
        <v>2.827279459073523</v>
      </c>
      <c r="AP30" s="121"/>
      <c r="AQ30" s="124"/>
      <c r="AR30" s="121"/>
      <c r="AS30" s="106"/>
    </row>
    <row r="31" spans="1:45" ht="15">
      <c r="A31" s="104" t="s">
        <v>45</v>
      </c>
      <c r="B31" s="105" t="s">
        <v>101</v>
      </c>
      <c r="C31" s="105">
        <v>13</v>
      </c>
      <c r="D31" s="106">
        <v>4</v>
      </c>
      <c r="E31" s="107" t="s">
        <v>48</v>
      </c>
      <c r="F31" s="105"/>
      <c r="G31" s="108">
        <f>J31/100+208.1</f>
        <v>208.79999999999998</v>
      </c>
      <c r="H31" s="108">
        <f>K31/100+208.1</f>
        <v>208.81</v>
      </c>
      <c r="I31" s="109">
        <f t="shared" si="0"/>
        <v>208.805</v>
      </c>
      <c r="J31" s="110">
        <v>70</v>
      </c>
      <c r="K31" s="111">
        <v>71</v>
      </c>
      <c r="L31" s="106">
        <f t="shared" si="1"/>
        <v>70.5</v>
      </c>
      <c r="M31" s="104">
        <v>90</v>
      </c>
      <c r="N31" s="105">
        <v>2</v>
      </c>
      <c r="O31" s="105">
        <v>180</v>
      </c>
      <c r="P31" s="105">
        <v>2</v>
      </c>
      <c r="Q31" s="105"/>
      <c r="R31" s="106"/>
      <c r="S31" s="112">
        <f t="shared" si="2"/>
        <v>0.034878236872062644</v>
      </c>
      <c r="T31" s="113">
        <f t="shared" si="3"/>
        <v>-0.03487823687206265</v>
      </c>
      <c r="U31" s="113">
        <f t="shared" si="4"/>
        <v>0.9987820251299122</v>
      </c>
      <c r="V31" s="114">
        <f t="shared" si="5"/>
        <v>315</v>
      </c>
      <c r="W31" s="115">
        <f t="shared" si="6"/>
        <v>87.17272054092648</v>
      </c>
      <c r="X31" s="116">
        <f t="shared" si="7"/>
        <v>135</v>
      </c>
      <c r="Y31" s="114">
        <f t="shared" si="8"/>
        <v>45</v>
      </c>
      <c r="Z31" s="117">
        <f t="shared" si="9"/>
        <v>2.827279459073523</v>
      </c>
      <c r="AA31" s="118">
        <f t="shared" si="10"/>
        <v>45.034892418431454</v>
      </c>
      <c r="AB31" s="119">
        <f t="shared" si="11"/>
        <v>45.034892418431454</v>
      </c>
      <c r="AC31" s="120">
        <f t="shared" si="12"/>
        <v>0.7066760308408345</v>
      </c>
      <c r="AD31" s="120">
        <f t="shared" si="13"/>
        <v>0.7066760308408345</v>
      </c>
      <c r="AE31" s="120">
        <f t="shared" si="14"/>
        <v>0.03489949670250031</v>
      </c>
      <c r="AF31" s="121">
        <f t="shared" si="15"/>
        <v>90</v>
      </c>
      <c r="AG31" s="119">
        <f t="shared" si="16"/>
        <v>1.9999999999999618</v>
      </c>
      <c r="AH31" s="122">
        <f t="shared" si="17"/>
        <v>7.512478155921141E-06</v>
      </c>
      <c r="AI31" s="104">
        <v>63</v>
      </c>
      <c r="AJ31" s="106">
        <v>71</v>
      </c>
      <c r="AK31" s="104">
        <v>132.4</v>
      </c>
      <c r="AL31" s="105">
        <v>72</v>
      </c>
      <c r="AM31" s="116">
        <f t="shared" si="18"/>
        <v>2.5999999999999943</v>
      </c>
      <c r="AN31" s="114">
        <f t="shared" si="19"/>
        <v>272.6</v>
      </c>
      <c r="AO31" s="117">
        <f t="shared" si="20"/>
        <v>2.827279459073523</v>
      </c>
      <c r="AP31" s="121"/>
      <c r="AQ31" s="124"/>
      <c r="AR31" s="121"/>
      <c r="AS31" s="106"/>
    </row>
    <row r="32" spans="1:45" ht="15">
      <c r="A32" s="104" t="s">
        <v>45</v>
      </c>
      <c r="B32" s="105" t="s">
        <v>101</v>
      </c>
      <c r="C32" s="105">
        <v>13</v>
      </c>
      <c r="D32" s="106">
        <v>4</v>
      </c>
      <c r="E32" s="107" t="s">
        <v>48</v>
      </c>
      <c r="F32" s="105"/>
      <c r="G32" s="108">
        <f>J32/100+208.1</f>
        <v>209.32999999999998</v>
      </c>
      <c r="H32" s="108">
        <f>K32/100+208.1</f>
        <v>209.32999999999998</v>
      </c>
      <c r="I32" s="109">
        <f t="shared" si="0"/>
        <v>209.32999999999998</v>
      </c>
      <c r="J32" s="110">
        <v>123</v>
      </c>
      <c r="K32" s="111">
        <v>123</v>
      </c>
      <c r="L32" s="106">
        <f t="shared" si="1"/>
        <v>123</v>
      </c>
      <c r="M32" s="104">
        <v>90</v>
      </c>
      <c r="N32" s="105">
        <v>2</v>
      </c>
      <c r="O32" s="105">
        <v>0</v>
      </c>
      <c r="P32" s="105">
        <v>2</v>
      </c>
      <c r="Q32" s="105"/>
      <c r="R32" s="106"/>
      <c r="S32" s="112">
        <f t="shared" si="2"/>
        <v>0.03487823687206265</v>
      </c>
      <c r="T32" s="113">
        <f t="shared" si="3"/>
        <v>0.03487823687206265</v>
      </c>
      <c r="U32" s="113">
        <f t="shared" si="4"/>
        <v>-0.9987820251299122</v>
      </c>
      <c r="V32" s="114">
        <f t="shared" si="5"/>
        <v>45</v>
      </c>
      <c r="W32" s="115">
        <f t="shared" si="6"/>
        <v>-87.17272054092648</v>
      </c>
      <c r="X32" s="116">
        <f t="shared" si="7"/>
        <v>45</v>
      </c>
      <c r="Y32" s="114">
        <f t="shared" si="8"/>
        <v>315</v>
      </c>
      <c r="Z32" s="117">
        <f t="shared" si="9"/>
        <v>2.827279459073523</v>
      </c>
      <c r="AA32" s="118">
        <f t="shared" si="10"/>
        <v>134.96510758156853</v>
      </c>
      <c r="AB32" s="119">
        <f t="shared" si="11"/>
        <v>134.96510758156853</v>
      </c>
      <c r="AC32" s="120">
        <f t="shared" si="12"/>
        <v>-0.706676030840834</v>
      </c>
      <c r="AD32" s="120">
        <f t="shared" si="13"/>
        <v>0.706676030840835</v>
      </c>
      <c r="AE32" s="120">
        <f t="shared" si="14"/>
        <v>0.03489949670250033</v>
      </c>
      <c r="AF32" s="121">
        <f t="shared" si="15"/>
        <v>89.99999999999997</v>
      </c>
      <c r="AG32" s="119">
        <f t="shared" si="16"/>
        <v>1.9999999999999636</v>
      </c>
      <c r="AH32" s="122">
        <f t="shared" si="17"/>
        <v>-7.51247815592114E-06</v>
      </c>
      <c r="AI32" s="104">
        <v>119</v>
      </c>
      <c r="AJ32" s="106">
        <v>123</v>
      </c>
      <c r="AK32" s="104">
        <v>294.8</v>
      </c>
      <c r="AL32" s="105">
        <v>80.8</v>
      </c>
      <c r="AM32" s="116">
        <f t="shared" si="18"/>
        <v>110.19999999999999</v>
      </c>
      <c r="AN32" s="114">
        <f t="shared" si="19"/>
        <v>20.19999999999999</v>
      </c>
      <c r="AO32" s="117">
        <f t="shared" si="20"/>
        <v>2.827279459073523</v>
      </c>
      <c r="AP32" s="121"/>
      <c r="AQ32" s="124"/>
      <c r="AR32" s="121"/>
      <c r="AS32" s="106"/>
    </row>
    <row r="33" spans="1:45" ht="15">
      <c r="A33" s="104" t="s">
        <v>45</v>
      </c>
      <c r="B33" s="105" t="s">
        <v>101</v>
      </c>
      <c r="C33" s="105">
        <v>15</v>
      </c>
      <c r="D33" s="106">
        <v>2</v>
      </c>
      <c r="E33" s="107" t="s">
        <v>48</v>
      </c>
      <c r="F33" s="105"/>
      <c r="G33" s="108">
        <f>J33/100+225.775</f>
        <v>226.415</v>
      </c>
      <c r="H33" s="108">
        <f>K33/100+225.775</f>
        <v>226.435</v>
      </c>
      <c r="I33" s="109">
        <f t="shared" si="0"/>
        <v>226.425</v>
      </c>
      <c r="J33" s="110">
        <v>64</v>
      </c>
      <c r="K33" s="111">
        <v>66</v>
      </c>
      <c r="L33" s="106">
        <f t="shared" si="1"/>
        <v>65</v>
      </c>
      <c r="M33" s="104">
        <v>90</v>
      </c>
      <c r="N33" s="105">
        <v>22</v>
      </c>
      <c r="O33" s="105">
        <v>0</v>
      </c>
      <c r="P33" s="105">
        <v>10</v>
      </c>
      <c r="Q33" s="105"/>
      <c r="R33" s="106"/>
      <c r="S33" s="112">
        <f t="shared" si="2"/>
        <v>0.1610037867077228</v>
      </c>
      <c r="T33" s="113">
        <f t="shared" si="3"/>
        <v>0.3689154775254821</v>
      </c>
      <c r="U33" s="113">
        <f t="shared" si="4"/>
        <v>-0.9130978484451158</v>
      </c>
      <c r="V33" s="114">
        <f t="shared" si="5"/>
        <v>66.4223600148965</v>
      </c>
      <c r="W33" s="115">
        <f t="shared" si="6"/>
        <v>-66.21082219439339</v>
      </c>
      <c r="X33" s="116">
        <f t="shared" si="7"/>
        <v>66.4223600148965</v>
      </c>
      <c r="Y33" s="114">
        <f t="shared" si="8"/>
        <v>336.4223600148965</v>
      </c>
      <c r="Z33" s="117">
        <f t="shared" si="9"/>
        <v>23.789177805606613</v>
      </c>
      <c r="AA33" s="118">
        <f t="shared" si="10"/>
        <v>111.76900821470707</v>
      </c>
      <c r="AB33" s="119">
        <f t="shared" si="11"/>
        <v>111.76900821470707</v>
      </c>
      <c r="AC33" s="120">
        <f t="shared" si="12"/>
        <v>-0.37086555519049696</v>
      </c>
      <c r="AD33" s="120">
        <f t="shared" si="13"/>
        <v>0.8497815249477774</v>
      </c>
      <c r="AE33" s="120">
        <f t="shared" si="14"/>
        <v>0.374606593415912</v>
      </c>
      <c r="AF33" s="121">
        <f t="shared" si="15"/>
        <v>90.00000000000003</v>
      </c>
      <c r="AG33" s="119">
        <f t="shared" si="16"/>
        <v>21.999999999999996</v>
      </c>
      <c r="AH33" s="122">
        <f t="shared" si="17"/>
        <v>-4.231949969634099E-05</v>
      </c>
      <c r="AI33" s="104">
        <v>58</v>
      </c>
      <c r="AJ33" s="106">
        <v>73</v>
      </c>
      <c r="AK33" s="104">
        <v>352.4</v>
      </c>
      <c r="AL33" s="105">
        <v>58.6</v>
      </c>
      <c r="AM33" s="116">
        <f t="shared" si="18"/>
        <v>74.02236001489655</v>
      </c>
      <c r="AN33" s="114">
        <f t="shared" si="19"/>
        <v>344.02236001489655</v>
      </c>
      <c r="AO33" s="117">
        <f t="shared" si="20"/>
        <v>23.789177805606613</v>
      </c>
      <c r="AP33" s="121"/>
      <c r="AQ33" s="124"/>
      <c r="AR33" s="121"/>
      <c r="AS33" s="106"/>
    </row>
    <row r="34" spans="1:45" ht="15">
      <c r="A34" s="104" t="s">
        <v>45</v>
      </c>
      <c r="B34" s="105" t="s">
        <v>101</v>
      </c>
      <c r="C34" s="105">
        <v>16</v>
      </c>
      <c r="D34" s="106">
        <v>2</v>
      </c>
      <c r="E34" s="107" t="s">
        <v>100</v>
      </c>
      <c r="F34" s="105"/>
      <c r="G34" s="108">
        <f>J34/100+234.495</f>
        <v>235.335</v>
      </c>
      <c r="H34" s="108">
        <f>K34/100+234.495</f>
        <v>235.465</v>
      </c>
      <c r="I34" s="109">
        <f t="shared" si="0"/>
        <v>235.4</v>
      </c>
      <c r="J34" s="110">
        <v>84</v>
      </c>
      <c r="K34" s="111">
        <v>97</v>
      </c>
      <c r="L34" s="106">
        <f t="shared" si="1"/>
        <v>90.5</v>
      </c>
      <c r="M34" s="104">
        <v>270</v>
      </c>
      <c r="N34" s="105">
        <v>9</v>
      </c>
      <c r="O34" s="105">
        <v>180</v>
      </c>
      <c r="P34" s="105">
        <v>2</v>
      </c>
      <c r="Q34" s="105"/>
      <c r="R34" s="106"/>
      <c r="S34" s="112">
        <f t="shared" si="2"/>
        <v>-0.034469825985698685</v>
      </c>
      <c r="T34" s="113">
        <f t="shared" si="3"/>
        <v>-0.15633916939084616</v>
      </c>
      <c r="U34" s="113">
        <f t="shared" si="4"/>
        <v>-0.987086667544493</v>
      </c>
      <c r="V34" s="114">
        <f t="shared" si="5"/>
        <v>257.5662937994489</v>
      </c>
      <c r="W34" s="115">
        <f t="shared" si="6"/>
        <v>-80.78750626027328</v>
      </c>
      <c r="X34" s="116">
        <f t="shared" si="7"/>
        <v>257.5662937994489</v>
      </c>
      <c r="Y34" s="114">
        <f t="shared" si="8"/>
        <v>167.56629379944889</v>
      </c>
      <c r="Z34" s="117">
        <f t="shared" si="9"/>
        <v>9.212493739726725</v>
      </c>
      <c r="AA34" s="118">
        <f t="shared" si="10"/>
        <v>102.27822383283859</v>
      </c>
      <c r="AB34" s="119">
        <f t="shared" si="11"/>
        <v>102.27822383283859</v>
      </c>
      <c r="AC34" s="120">
        <f t="shared" si="12"/>
        <v>-0.21265902927483338</v>
      </c>
      <c r="AD34" s="120">
        <f t="shared" si="13"/>
        <v>0.964522884858344</v>
      </c>
      <c r="AE34" s="120">
        <f t="shared" si="14"/>
        <v>0.15643446504023062</v>
      </c>
      <c r="AF34" s="121">
        <f t="shared" si="15"/>
        <v>270</v>
      </c>
      <c r="AG34" s="119">
        <f t="shared" si="16"/>
        <v>8.999999999999986</v>
      </c>
      <c r="AH34" s="122">
        <f t="shared" si="17"/>
        <v>-1.013373322110012E-05</v>
      </c>
      <c r="AI34" s="104">
        <v>84</v>
      </c>
      <c r="AJ34" s="106">
        <v>97</v>
      </c>
      <c r="AK34" s="104">
        <v>323.6</v>
      </c>
      <c r="AL34" s="105">
        <v>54.2</v>
      </c>
      <c r="AM34" s="116">
        <f t="shared" si="18"/>
        <v>293.96629379944886</v>
      </c>
      <c r="AN34" s="114">
        <f t="shared" si="19"/>
        <v>203.96629379944886</v>
      </c>
      <c r="AO34" s="117">
        <f t="shared" si="20"/>
        <v>9.212493739726725</v>
      </c>
      <c r="AP34" s="121"/>
      <c r="AQ34" s="124"/>
      <c r="AR34" s="121"/>
      <c r="AS34" s="106"/>
    </row>
    <row r="35" spans="1:45" ht="15">
      <c r="A35" s="104" t="s">
        <v>45</v>
      </c>
      <c r="B35" s="105" t="s">
        <v>101</v>
      </c>
      <c r="C35" s="105">
        <v>16</v>
      </c>
      <c r="D35" s="106">
        <v>9</v>
      </c>
      <c r="E35" s="107" t="s">
        <v>100</v>
      </c>
      <c r="F35" s="105"/>
      <c r="G35" s="108">
        <f>J35/100+241.38</f>
        <v>242.04999999999998</v>
      </c>
      <c r="H35" s="108">
        <f>K35/100+241.38</f>
        <v>242.14</v>
      </c>
      <c r="I35" s="109">
        <f t="shared" si="0"/>
        <v>242.09499999999997</v>
      </c>
      <c r="J35" s="110">
        <v>67</v>
      </c>
      <c r="K35" s="111">
        <v>76</v>
      </c>
      <c r="L35" s="106">
        <f t="shared" si="1"/>
        <v>71.5</v>
      </c>
      <c r="M35" s="104">
        <v>90</v>
      </c>
      <c r="N35" s="105">
        <v>9</v>
      </c>
      <c r="O35" s="105">
        <v>0</v>
      </c>
      <c r="P35" s="105">
        <v>1</v>
      </c>
      <c r="Q35" s="105"/>
      <c r="R35" s="106"/>
      <c r="S35" s="112">
        <f t="shared" si="2"/>
        <v>0.017237538353432454</v>
      </c>
      <c r="T35" s="113">
        <f t="shared" si="3"/>
        <v>0.1564106393134979</v>
      </c>
      <c r="U35" s="113">
        <f t="shared" si="4"/>
        <v>-0.9875379108768892</v>
      </c>
      <c r="V35" s="114">
        <f t="shared" si="5"/>
        <v>83.71098658853772</v>
      </c>
      <c r="W35" s="115">
        <f t="shared" si="6"/>
        <v>-80.9464097574264</v>
      </c>
      <c r="X35" s="116">
        <f t="shared" si="7"/>
        <v>83.71098658853772</v>
      </c>
      <c r="Y35" s="114">
        <f t="shared" si="8"/>
        <v>353.7109865885377</v>
      </c>
      <c r="Z35" s="117">
        <f t="shared" si="9"/>
        <v>9.053590242573605</v>
      </c>
      <c r="AA35" s="118">
        <f t="shared" si="10"/>
        <v>96.21127854701555</v>
      </c>
      <c r="AB35" s="119">
        <f t="shared" si="11"/>
        <v>96.21127854701555</v>
      </c>
      <c r="AC35" s="120">
        <f t="shared" si="12"/>
        <v>-0.10819505002282653</v>
      </c>
      <c r="AD35" s="120">
        <f t="shared" si="13"/>
        <v>0.9817444113913432</v>
      </c>
      <c r="AE35" s="120">
        <f t="shared" si="14"/>
        <v>0.156434465040231</v>
      </c>
      <c r="AF35" s="121">
        <f t="shared" si="15"/>
        <v>89.99999999999999</v>
      </c>
      <c r="AG35" s="119">
        <f t="shared" si="16"/>
        <v>9.000000000000007</v>
      </c>
      <c r="AH35" s="122">
        <f t="shared" si="17"/>
        <v>-5.155772798694546E-06</v>
      </c>
      <c r="AI35" s="104">
        <v>67</v>
      </c>
      <c r="AJ35" s="106">
        <v>76</v>
      </c>
      <c r="AK35" s="104">
        <v>342.4</v>
      </c>
      <c r="AL35" s="105">
        <v>58.3</v>
      </c>
      <c r="AM35" s="116">
        <f t="shared" si="18"/>
        <v>101.31098658853773</v>
      </c>
      <c r="AN35" s="114">
        <f t="shared" si="19"/>
        <v>11.31098658853773</v>
      </c>
      <c r="AO35" s="117">
        <f t="shared" si="20"/>
        <v>9.053590242573605</v>
      </c>
      <c r="AP35" s="121"/>
      <c r="AQ35" s="124"/>
      <c r="AR35" s="121"/>
      <c r="AS35" s="106"/>
    </row>
    <row r="36" spans="1:45" ht="15">
      <c r="A36" s="104" t="s">
        <v>45</v>
      </c>
      <c r="B36" s="105" t="s">
        <v>101</v>
      </c>
      <c r="C36" s="105">
        <v>18</v>
      </c>
      <c r="D36" s="106">
        <v>2</v>
      </c>
      <c r="E36" s="107" t="s">
        <v>48</v>
      </c>
      <c r="F36" s="105"/>
      <c r="G36" s="108">
        <f>J36/100+254.065</f>
        <v>254.325</v>
      </c>
      <c r="H36" s="108">
        <f>K36/100+254.065</f>
        <v>254.345</v>
      </c>
      <c r="I36" s="109">
        <f t="shared" si="0"/>
        <v>254.33499999999998</v>
      </c>
      <c r="J36" s="110">
        <v>26</v>
      </c>
      <c r="K36" s="111">
        <v>28</v>
      </c>
      <c r="L36" s="106">
        <f t="shared" si="1"/>
        <v>27</v>
      </c>
      <c r="M36" s="104">
        <v>90</v>
      </c>
      <c r="N36" s="105">
        <v>6</v>
      </c>
      <c r="O36" s="105">
        <v>180</v>
      </c>
      <c r="P36" s="105">
        <v>4</v>
      </c>
      <c r="Q36" s="105"/>
      <c r="R36" s="106"/>
      <c r="S36" s="112">
        <f t="shared" si="2"/>
        <v>0.06937434048221468</v>
      </c>
      <c r="T36" s="113">
        <f t="shared" si="3"/>
        <v>-0.10427383718471564</v>
      </c>
      <c r="U36" s="113">
        <f t="shared" si="4"/>
        <v>0.9920992900156518</v>
      </c>
      <c r="V36" s="114">
        <f t="shared" si="5"/>
        <v>303.63618705852537</v>
      </c>
      <c r="W36" s="115">
        <f t="shared" si="6"/>
        <v>82.80501343661278</v>
      </c>
      <c r="X36" s="116">
        <f t="shared" si="7"/>
        <v>123.63618705852537</v>
      </c>
      <c r="Y36" s="114">
        <f t="shared" si="8"/>
        <v>33.636187058525366</v>
      </c>
      <c r="Z36" s="117">
        <f t="shared" si="9"/>
        <v>7.194986563387218</v>
      </c>
      <c r="AA36" s="118">
        <f t="shared" si="10"/>
        <v>56.57238294067111</v>
      </c>
      <c r="AB36" s="119">
        <f t="shared" si="11"/>
        <v>56.57238294067111</v>
      </c>
      <c r="AC36" s="120">
        <f t="shared" si="12"/>
        <v>0.5508830799844991</v>
      </c>
      <c r="AD36" s="120">
        <f t="shared" si="13"/>
        <v>0.8280106476088909</v>
      </c>
      <c r="AE36" s="120">
        <f t="shared" si="14"/>
        <v>0.1045284632676531</v>
      </c>
      <c r="AF36" s="121">
        <f t="shared" si="15"/>
        <v>90</v>
      </c>
      <c r="AG36" s="119">
        <f t="shared" si="16"/>
        <v>5.999999999999979</v>
      </c>
      <c r="AH36" s="122">
        <f t="shared" si="17"/>
        <v>1.754049326229011E-05</v>
      </c>
      <c r="AI36" s="104">
        <v>22</v>
      </c>
      <c r="AJ36" s="106">
        <v>31</v>
      </c>
      <c r="AK36" s="104">
        <v>156.7</v>
      </c>
      <c r="AL36" s="105">
        <v>62.1</v>
      </c>
      <c r="AM36" s="116">
        <f t="shared" si="18"/>
        <v>326.9361870585254</v>
      </c>
      <c r="AN36" s="114">
        <f t="shared" si="19"/>
        <v>236.93618705852538</v>
      </c>
      <c r="AO36" s="117">
        <f t="shared" si="20"/>
        <v>7.194986563387218</v>
      </c>
      <c r="AP36" s="121"/>
      <c r="AQ36" s="124"/>
      <c r="AR36" s="121"/>
      <c r="AS36" s="106"/>
    </row>
    <row r="37" spans="1:45" ht="15">
      <c r="A37" s="104" t="s">
        <v>45</v>
      </c>
      <c r="B37" s="105" t="s">
        <v>101</v>
      </c>
      <c r="C37" s="105">
        <v>19</v>
      </c>
      <c r="D37" s="106">
        <v>1</v>
      </c>
      <c r="E37" s="107" t="s">
        <v>48</v>
      </c>
      <c r="F37" s="105"/>
      <c r="G37" s="108">
        <f>J37/100+262.5</f>
        <v>263.65</v>
      </c>
      <c r="H37" s="108">
        <f>K37/100+262.5</f>
        <v>263.66</v>
      </c>
      <c r="I37" s="109">
        <f t="shared" si="0"/>
        <v>263.655</v>
      </c>
      <c r="J37" s="110">
        <v>115</v>
      </c>
      <c r="K37" s="111">
        <v>116</v>
      </c>
      <c r="L37" s="106">
        <f t="shared" si="1"/>
        <v>115.5</v>
      </c>
      <c r="M37" s="104">
        <v>270</v>
      </c>
      <c r="N37" s="105">
        <v>16</v>
      </c>
      <c r="O37" s="105">
        <v>0</v>
      </c>
      <c r="P37" s="105">
        <v>2</v>
      </c>
      <c r="Q37" s="105"/>
      <c r="R37" s="106"/>
      <c r="S37" s="112">
        <f t="shared" si="2"/>
        <v>-0.03354754938763985</v>
      </c>
      <c r="T37" s="113">
        <f t="shared" si="3"/>
        <v>0.2754694449873076</v>
      </c>
      <c r="U37" s="113">
        <f t="shared" si="4"/>
        <v>0.9606761212855751</v>
      </c>
      <c r="V37" s="114">
        <f t="shared" si="5"/>
        <v>96.94347131003018</v>
      </c>
      <c r="W37" s="115">
        <f t="shared" si="6"/>
        <v>73.88790108085982</v>
      </c>
      <c r="X37" s="116">
        <f t="shared" si="7"/>
        <v>276.9434713100302</v>
      </c>
      <c r="Y37" s="114">
        <f t="shared" si="8"/>
        <v>186.9434713100302</v>
      </c>
      <c r="Z37" s="117">
        <f t="shared" si="9"/>
        <v>16.11209891914018</v>
      </c>
      <c r="AA37" s="118">
        <f t="shared" si="10"/>
        <v>83.3267549233333</v>
      </c>
      <c r="AB37" s="119">
        <f t="shared" si="11"/>
        <v>83.3267549233333</v>
      </c>
      <c r="AC37" s="120">
        <f t="shared" si="12"/>
        <v>0.11620695193645636</v>
      </c>
      <c r="AD37" s="120">
        <f t="shared" si="13"/>
        <v>0.9542117125668973</v>
      </c>
      <c r="AE37" s="120">
        <f t="shared" si="14"/>
        <v>0.2756373558169991</v>
      </c>
      <c r="AF37" s="121">
        <f t="shared" si="15"/>
        <v>270</v>
      </c>
      <c r="AG37" s="119">
        <f t="shared" si="16"/>
        <v>15.999999999999998</v>
      </c>
      <c r="AH37" s="122">
        <f t="shared" si="17"/>
        <v>9.757149229086667E-06</v>
      </c>
      <c r="AI37" s="104">
        <v>115</v>
      </c>
      <c r="AJ37" s="106">
        <v>120</v>
      </c>
      <c r="AK37" s="104">
        <v>299.5</v>
      </c>
      <c r="AL37" s="105">
        <v>79.8</v>
      </c>
      <c r="AM37" s="116">
        <f t="shared" si="18"/>
        <v>337.4434713100302</v>
      </c>
      <c r="AN37" s="114">
        <f t="shared" si="19"/>
        <v>247.4434713100302</v>
      </c>
      <c r="AO37" s="117">
        <f t="shared" si="20"/>
        <v>16.11209891914018</v>
      </c>
      <c r="AP37" s="121"/>
      <c r="AQ37" s="124"/>
      <c r="AR37" s="121"/>
      <c r="AS37" s="106"/>
    </row>
    <row r="38" spans="1:45" ht="15">
      <c r="A38" s="104" t="s">
        <v>45</v>
      </c>
      <c r="B38" s="105" t="s">
        <v>101</v>
      </c>
      <c r="C38" s="105">
        <v>19</v>
      </c>
      <c r="D38" s="106">
        <v>3</v>
      </c>
      <c r="E38" s="107" t="s">
        <v>48</v>
      </c>
      <c r="F38" s="105"/>
      <c r="G38" s="108">
        <f>J38/100+265.035</f>
        <v>265.545</v>
      </c>
      <c r="H38" s="108">
        <f>K38/100+265.035</f>
        <v>265.565</v>
      </c>
      <c r="I38" s="109">
        <f t="shared" si="0"/>
        <v>265.555</v>
      </c>
      <c r="J38" s="110">
        <v>51</v>
      </c>
      <c r="K38" s="111">
        <v>53</v>
      </c>
      <c r="L38" s="106">
        <f t="shared" si="1"/>
        <v>52</v>
      </c>
      <c r="M38" s="104">
        <v>270</v>
      </c>
      <c r="N38" s="105">
        <v>16</v>
      </c>
      <c r="O38" s="105">
        <v>0</v>
      </c>
      <c r="P38" s="105">
        <v>6</v>
      </c>
      <c r="Q38" s="105"/>
      <c r="R38" s="106"/>
      <c r="S38" s="112">
        <f t="shared" si="2"/>
        <v>-0.10047920787449083</v>
      </c>
      <c r="T38" s="113">
        <f t="shared" si="3"/>
        <v>0.27412738554142113</v>
      </c>
      <c r="U38" s="113">
        <f t="shared" si="4"/>
        <v>0.9559958037894977</v>
      </c>
      <c r="V38" s="114">
        <f t="shared" si="5"/>
        <v>110.13000823479483</v>
      </c>
      <c r="W38" s="115">
        <f t="shared" si="6"/>
        <v>73.01727233987191</v>
      </c>
      <c r="X38" s="116">
        <f t="shared" si="7"/>
        <v>290.13000823479484</v>
      </c>
      <c r="Y38" s="114">
        <f t="shared" si="8"/>
        <v>200.13000823479484</v>
      </c>
      <c r="Z38" s="117">
        <f t="shared" si="9"/>
        <v>16.98272766012809</v>
      </c>
      <c r="AA38" s="118">
        <f t="shared" si="10"/>
        <v>70.6814677977686</v>
      </c>
      <c r="AB38" s="119">
        <f t="shared" si="11"/>
        <v>70.6814677977686</v>
      </c>
      <c r="AC38" s="120">
        <f t="shared" si="12"/>
        <v>0.33081964589870116</v>
      </c>
      <c r="AD38" s="120">
        <f t="shared" si="13"/>
        <v>0.9025421929005154</v>
      </c>
      <c r="AE38" s="120">
        <f t="shared" si="14"/>
        <v>0.2756373558169989</v>
      </c>
      <c r="AF38" s="121">
        <f t="shared" si="15"/>
        <v>270</v>
      </c>
      <c r="AG38" s="119">
        <f t="shared" si="16"/>
        <v>15.999999999999982</v>
      </c>
      <c r="AH38" s="122">
        <f t="shared" si="17"/>
        <v>2.7776659461629113E-05</v>
      </c>
      <c r="AI38" s="104">
        <v>50</v>
      </c>
      <c r="AJ38" s="106">
        <v>59</v>
      </c>
      <c r="AK38" s="104">
        <v>217.6</v>
      </c>
      <c r="AL38" s="105">
        <v>63.7</v>
      </c>
      <c r="AM38" s="116">
        <f t="shared" si="18"/>
        <v>72.53000823479485</v>
      </c>
      <c r="AN38" s="114">
        <f t="shared" si="19"/>
        <v>342.5300082347949</v>
      </c>
      <c r="AO38" s="117">
        <f t="shared" si="20"/>
        <v>16.98272766012809</v>
      </c>
      <c r="AP38" s="121"/>
      <c r="AQ38" s="124"/>
      <c r="AR38" s="121"/>
      <c r="AS38" s="106"/>
    </row>
    <row r="39" spans="1:45" ht="15">
      <c r="A39" s="104" t="s">
        <v>45</v>
      </c>
      <c r="B39" s="105" t="s">
        <v>101</v>
      </c>
      <c r="C39" s="105">
        <v>19</v>
      </c>
      <c r="D39" s="106">
        <v>4</v>
      </c>
      <c r="E39" s="107" t="s">
        <v>48</v>
      </c>
      <c r="F39" s="105"/>
      <c r="G39" s="108">
        <f>J39/100+266.32</f>
        <v>266.52</v>
      </c>
      <c r="H39" s="108">
        <f>K39/100+266.32</f>
        <v>266.54</v>
      </c>
      <c r="I39" s="109">
        <f t="shared" si="0"/>
        <v>266.53</v>
      </c>
      <c r="J39" s="110">
        <v>20</v>
      </c>
      <c r="K39" s="111">
        <v>22</v>
      </c>
      <c r="L39" s="106">
        <f t="shared" si="1"/>
        <v>21</v>
      </c>
      <c r="M39" s="104">
        <v>90</v>
      </c>
      <c r="N39" s="105">
        <v>16</v>
      </c>
      <c r="O39" s="105">
        <v>0</v>
      </c>
      <c r="P39" s="105">
        <v>2</v>
      </c>
      <c r="Q39" s="105"/>
      <c r="R39" s="106"/>
      <c r="S39" s="112">
        <f t="shared" si="2"/>
        <v>0.03354754938763985</v>
      </c>
      <c r="T39" s="113">
        <f t="shared" si="3"/>
        <v>0.2754694449873076</v>
      </c>
      <c r="U39" s="113">
        <f t="shared" si="4"/>
        <v>-0.9606761212855751</v>
      </c>
      <c r="V39" s="114">
        <f t="shared" si="5"/>
        <v>83.05652868996982</v>
      </c>
      <c r="W39" s="115">
        <f t="shared" si="6"/>
        <v>-73.88790108085979</v>
      </c>
      <c r="X39" s="116">
        <f t="shared" si="7"/>
        <v>83.05652868996982</v>
      </c>
      <c r="Y39" s="114">
        <f t="shared" si="8"/>
        <v>353.0565286899698</v>
      </c>
      <c r="Z39" s="117">
        <f t="shared" si="9"/>
        <v>16.11209891914021</v>
      </c>
      <c r="AA39" s="118">
        <f t="shared" si="10"/>
        <v>96.6732450766667</v>
      </c>
      <c r="AB39" s="119">
        <f t="shared" si="11"/>
        <v>96.6732450766667</v>
      </c>
      <c r="AC39" s="120">
        <f t="shared" si="12"/>
        <v>-0.11620695193645646</v>
      </c>
      <c r="AD39" s="120">
        <f t="shared" si="13"/>
        <v>0.9542117125668972</v>
      </c>
      <c r="AE39" s="120">
        <f t="shared" si="14"/>
        <v>0.2756373558169996</v>
      </c>
      <c r="AF39" s="121">
        <f t="shared" si="15"/>
        <v>89.99999999999999</v>
      </c>
      <c r="AG39" s="119">
        <f t="shared" si="16"/>
        <v>16.000000000000025</v>
      </c>
      <c r="AH39" s="122">
        <f t="shared" si="17"/>
        <v>-9.757149229086692E-06</v>
      </c>
      <c r="AI39" s="104">
        <v>16</v>
      </c>
      <c r="AJ39" s="106">
        <v>22</v>
      </c>
      <c r="AK39" s="104">
        <v>254.4</v>
      </c>
      <c r="AL39" s="105">
        <v>77.2</v>
      </c>
      <c r="AM39" s="116">
        <f t="shared" si="18"/>
        <v>188.65652868996983</v>
      </c>
      <c r="AN39" s="114">
        <f t="shared" si="19"/>
        <v>98.65652868996983</v>
      </c>
      <c r="AO39" s="117">
        <f t="shared" si="20"/>
        <v>16.11209891914021</v>
      </c>
      <c r="AP39" s="121"/>
      <c r="AQ39" s="124"/>
      <c r="AR39" s="121"/>
      <c r="AS39" s="106"/>
    </row>
    <row r="40" spans="1:45" ht="15">
      <c r="A40" s="104" t="s">
        <v>45</v>
      </c>
      <c r="B40" s="105" t="s">
        <v>101</v>
      </c>
      <c r="C40" s="105">
        <v>19</v>
      </c>
      <c r="D40" s="106">
        <v>4</v>
      </c>
      <c r="E40" s="107" t="s">
        <v>48</v>
      </c>
      <c r="F40" s="105"/>
      <c r="G40" s="108">
        <f>J40/100+266.32</f>
        <v>266.95</v>
      </c>
      <c r="H40" s="108">
        <f>K40/100+266.32</f>
        <v>266.96999999999997</v>
      </c>
      <c r="I40" s="109">
        <f t="shared" si="0"/>
        <v>266.96</v>
      </c>
      <c r="J40" s="110">
        <v>63</v>
      </c>
      <c r="K40" s="111">
        <v>65</v>
      </c>
      <c r="L40" s="106">
        <f t="shared" si="1"/>
        <v>64</v>
      </c>
      <c r="M40" s="104">
        <v>270</v>
      </c>
      <c r="N40" s="105">
        <v>14</v>
      </c>
      <c r="O40" s="105">
        <v>180</v>
      </c>
      <c r="P40" s="105">
        <v>2</v>
      </c>
      <c r="Q40" s="105"/>
      <c r="R40" s="106"/>
      <c r="S40" s="112">
        <f t="shared" si="2"/>
        <v>-0.03386283249961995</v>
      </c>
      <c r="T40" s="113">
        <f t="shared" si="3"/>
        <v>-0.24177452331737928</v>
      </c>
      <c r="U40" s="113">
        <f t="shared" si="4"/>
        <v>-0.9697046483360623</v>
      </c>
      <c r="V40" s="114">
        <f t="shared" si="5"/>
        <v>262.02704289520267</v>
      </c>
      <c r="W40" s="115">
        <f t="shared" si="6"/>
        <v>-75.86879986294363</v>
      </c>
      <c r="X40" s="116">
        <f t="shared" si="7"/>
        <v>262.02704289520267</v>
      </c>
      <c r="Y40" s="114">
        <f t="shared" si="8"/>
        <v>172.02704289520267</v>
      </c>
      <c r="Z40" s="117">
        <f t="shared" si="9"/>
        <v>14.131200137056368</v>
      </c>
      <c r="AA40" s="118">
        <f t="shared" si="10"/>
        <v>97.73465433364161</v>
      </c>
      <c r="AB40" s="119">
        <f t="shared" si="11"/>
        <v>97.73465433364161</v>
      </c>
      <c r="AC40" s="120">
        <f t="shared" si="12"/>
        <v>-0.13458553944497803</v>
      </c>
      <c r="AD40" s="120">
        <f t="shared" si="13"/>
        <v>0.9609165046983881</v>
      </c>
      <c r="AE40" s="120">
        <f t="shared" si="14"/>
        <v>0.24192189559966856</v>
      </c>
      <c r="AF40" s="121">
        <f t="shared" si="15"/>
        <v>270</v>
      </c>
      <c r="AG40" s="119">
        <f t="shared" si="16"/>
        <v>14.000000000000048</v>
      </c>
      <c r="AH40" s="122">
        <f t="shared" si="17"/>
        <v>-9.918057498769948E-06</v>
      </c>
      <c r="AI40" s="104">
        <v>60</v>
      </c>
      <c r="AJ40" s="106">
        <v>63</v>
      </c>
      <c r="AK40" s="104">
        <v>233.5</v>
      </c>
      <c r="AL40" s="105">
        <v>71.1</v>
      </c>
      <c r="AM40" s="116">
        <f t="shared" si="18"/>
        <v>28.52704289520267</v>
      </c>
      <c r="AN40" s="114">
        <f t="shared" si="19"/>
        <v>298.52704289520267</v>
      </c>
      <c r="AO40" s="117">
        <f t="shared" si="20"/>
        <v>14.131200137056368</v>
      </c>
      <c r="AP40" s="121"/>
      <c r="AQ40" s="124"/>
      <c r="AR40" s="121"/>
      <c r="AS40" s="106"/>
    </row>
    <row r="41" spans="1:45" ht="15">
      <c r="A41" s="104" t="s">
        <v>45</v>
      </c>
      <c r="B41" s="105" t="s">
        <v>101</v>
      </c>
      <c r="C41" s="105">
        <v>20</v>
      </c>
      <c r="D41" s="106">
        <v>1</v>
      </c>
      <c r="E41" s="107" t="s">
        <v>48</v>
      </c>
      <c r="F41" s="105"/>
      <c r="G41" s="108">
        <f>J41/100+272</f>
        <v>273.08</v>
      </c>
      <c r="H41" s="108">
        <f>K41/100+272</f>
        <v>273.08</v>
      </c>
      <c r="I41" s="109">
        <f t="shared" si="0"/>
        <v>273.08</v>
      </c>
      <c r="J41" s="110">
        <v>108</v>
      </c>
      <c r="K41" s="111">
        <v>108</v>
      </c>
      <c r="L41" s="106">
        <f t="shared" si="1"/>
        <v>108</v>
      </c>
      <c r="M41" s="104">
        <v>90</v>
      </c>
      <c r="N41" s="105">
        <v>2</v>
      </c>
      <c r="O41" s="105">
        <v>0</v>
      </c>
      <c r="P41" s="105">
        <v>4</v>
      </c>
      <c r="Q41" s="105"/>
      <c r="R41" s="106"/>
      <c r="S41" s="112">
        <f t="shared" si="2"/>
        <v>0.06971397998507722</v>
      </c>
      <c r="T41" s="113">
        <f t="shared" si="3"/>
        <v>0.03481448328257624</v>
      </c>
      <c r="U41" s="113">
        <f t="shared" si="4"/>
        <v>-0.9969563611936845</v>
      </c>
      <c r="V41" s="114">
        <f t="shared" si="5"/>
        <v>26.537096393580775</v>
      </c>
      <c r="W41" s="115">
        <f t="shared" si="6"/>
        <v>-85.53076266752878</v>
      </c>
      <c r="X41" s="116">
        <f t="shared" si="7"/>
        <v>26.537096393580775</v>
      </c>
      <c r="Y41" s="114">
        <f t="shared" si="8"/>
        <v>296.5370963935808</v>
      </c>
      <c r="Z41" s="117">
        <f t="shared" si="9"/>
        <v>4.469237332471224</v>
      </c>
      <c r="AA41" s="118">
        <f t="shared" si="10"/>
        <v>153.39309742990062</v>
      </c>
      <c r="AB41" s="119">
        <f t="shared" si="11"/>
        <v>153.39309742990062</v>
      </c>
      <c r="AC41" s="120">
        <f t="shared" si="12"/>
        <v>-0.8941002876604526</v>
      </c>
      <c r="AD41" s="120">
        <f t="shared" si="13"/>
        <v>0.4465049839983963</v>
      </c>
      <c r="AE41" s="120">
        <f t="shared" si="14"/>
        <v>0.034899496702501</v>
      </c>
      <c r="AF41" s="121">
        <f t="shared" si="15"/>
        <v>90</v>
      </c>
      <c r="AG41" s="119">
        <f t="shared" si="16"/>
        <v>2.0000000000000018</v>
      </c>
      <c r="AH41" s="122">
        <f t="shared" si="17"/>
        <v>-9.504789003564702E-06</v>
      </c>
      <c r="AI41" s="104">
        <v>108</v>
      </c>
      <c r="AJ41" s="106">
        <v>114</v>
      </c>
      <c r="AK41" s="248">
        <v>159.7</v>
      </c>
      <c r="AL41" s="249">
        <v>-9.7</v>
      </c>
      <c r="AM41" s="250">
        <f t="shared" si="18"/>
        <v>46.837096393580794</v>
      </c>
      <c r="AN41" s="251">
        <f t="shared" si="19"/>
        <v>316.8370963935808</v>
      </c>
      <c r="AO41" s="252">
        <f t="shared" si="20"/>
        <v>4.469237332471224</v>
      </c>
      <c r="AP41" s="121"/>
      <c r="AQ41" s="124"/>
      <c r="AR41" s="121"/>
      <c r="AS41" s="106"/>
    </row>
    <row r="42" spans="1:45" ht="15">
      <c r="A42" s="104" t="s">
        <v>45</v>
      </c>
      <c r="B42" s="105" t="s">
        <v>101</v>
      </c>
      <c r="C42" s="105">
        <v>23</v>
      </c>
      <c r="D42" s="106">
        <v>5</v>
      </c>
      <c r="E42" s="107" t="s">
        <v>48</v>
      </c>
      <c r="F42" s="105"/>
      <c r="G42" s="108">
        <f>J42/100+304.165</f>
        <v>304.88500000000005</v>
      </c>
      <c r="H42" s="108">
        <f>K42/100+304.165</f>
        <v>304.89500000000004</v>
      </c>
      <c r="I42" s="109">
        <f t="shared" si="0"/>
        <v>304.89000000000004</v>
      </c>
      <c r="J42" s="110">
        <v>72</v>
      </c>
      <c r="K42" s="111">
        <v>73</v>
      </c>
      <c r="L42" s="106">
        <f t="shared" si="1"/>
        <v>72.5</v>
      </c>
      <c r="M42" s="104">
        <v>90</v>
      </c>
      <c r="N42" s="105">
        <v>5</v>
      </c>
      <c r="O42" s="105">
        <v>0</v>
      </c>
      <c r="P42" s="105">
        <v>2</v>
      </c>
      <c r="Q42" s="105"/>
      <c r="R42" s="106"/>
      <c r="S42" s="112">
        <f t="shared" si="2"/>
        <v>0.03476669358110182</v>
      </c>
      <c r="T42" s="113">
        <f t="shared" si="3"/>
        <v>0.08710264982404566</v>
      </c>
      <c r="U42" s="113">
        <f t="shared" si="4"/>
        <v>-0.995587843197948</v>
      </c>
      <c r="V42" s="114">
        <f t="shared" si="5"/>
        <v>68.2407735204424</v>
      </c>
      <c r="W42" s="115">
        <f t="shared" si="6"/>
        <v>-84.61859152100902</v>
      </c>
      <c r="X42" s="116">
        <f t="shared" si="7"/>
        <v>68.2407735204424</v>
      </c>
      <c r="Y42" s="114">
        <f t="shared" si="8"/>
        <v>338.2407735204424</v>
      </c>
      <c r="Z42" s="117">
        <f t="shared" si="9"/>
        <v>5.381408478990977</v>
      </c>
      <c r="AA42" s="118">
        <f t="shared" si="10"/>
        <v>111.67222786138177</v>
      </c>
      <c r="AB42" s="119">
        <f t="shared" si="11"/>
        <v>111.67222786138177</v>
      </c>
      <c r="AC42" s="120">
        <f t="shared" si="12"/>
        <v>-0.36929634912042164</v>
      </c>
      <c r="AD42" s="120">
        <f t="shared" si="13"/>
        <v>0.9252156954096876</v>
      </c>
      <c r="AE42" s="120">
        <f t="shared" si="14"/>
        <v>0.08715574274765794</v>
      </c>
      <c r="AF42" s="121">
        <f t="shared" si="15"/>
        <v>89.99999999999999</v>
      </c>
      <c r="AG42" s="119">
        <f t="shared" si="16"/>
        <v>4.999999999999987</v>
      </c>
      <c r="AH42" s="122">
        <f t="shared" si="17"/>
        <v>-9.804435261072081E-06</v>
      </c>
      <c r="AI42" s="104">
        <v>68</v>
      </c>
      <c r="AJ42" s="106">
        <v>75</v>
      </c>
      <c r="AK42" s="248">
        <v>276.3</v>
      </c>
      <c r="AL42" s="249">
        <v>-31.6</v>
      </c>
      <c r="AM42" s="250">
        <f t="shared" si="18"/>
        <v>331.9407735204424</v>
      </c>
      <c r="AN42" s="251">
        <f t="shared" si="19"/>
        <v>241.9407735204424</v>
      </c>
      <c r="AO42" s="252">
        <f t="shared" si="20"/>
        <v>5.381408478990977</v>
      </c>
      <c r="AP42" s="121"/>
      <c r="AQ42" s="124"/>
      <c r="AR42" s="121"/>
      <c r="AS42" s="106"/>
    </row>
    <row r="43" spans="1:45" ht="15.75" thickBot="1">
      <c r="A43" s="128" t="s">
        <v>45</v>
      </c>
      <c r="B43" s="129" t="s">
        <v>101</v>
      </c>
      <c r="C43" s="129">
        <v>23</v>
      </c>
      <c r="D43" s="130">
        <v>5</v>
      </c>
      <c r="E43" s="131" t="s">
        <v>48</v>
      </c>
      <c r="F43" s="129"/>
      <c r="G43" s="132">
        <f>J43/100+304.165</f>
        <v>305.305</v>
      </c>
      <c r="H43" s="132">
        <f>K43/100+304.165</f>
        <v>305.315</v>
      </c>
      <c r="I43" s="133">
        <f t="shared" si="0"/>
        <v>305.31</v>
      </c>
      <c r="J43" s="134">
        <v>114</v>
      </c>
      <c r="K43" s="135">
        <v>115</v>
      </c>
      <c r="L43" s="130">
        <f t="shared" si="1"/>
        <v>114.5</v>
      </c>
      <c r="M43" s="128">
        <v>270</v>
      </c>
      <c r="N43" s="129">
        <v>4</v>
      </c>
      <c r="O43" s="129">
        <v>0</v>
      </c>
      <c r="P43" s="129">
        <v>0</v>
      </c>
      <c r="Q43" s="129"/>
      <c r="R43" s="130"/>
      <c r="S43" s="136">
        <f t="shared" si="2"/>
        <v>0</v>
      </c>
      <c r="T43" s="137">
        <f t="shared" si="3"/>
        <v>0.0697564737441253</v>
      </c>
      <c r="U43" s="137">
        <f t="shared" si="4"/>
        <v>0.9975640502598242</v>
      </c>
      <c r="V43" s="138">
        <f t="shared" si="5"/>
        <v>90</v>
      </c>
      <c r="W43" s="139">
        <f t="shared" si="6"/>
        <v>85.99999999999996</v>
      </c>
      <c r="X43" s="140">
        <f t="shared" si="7"/>
        <v>270</v>
      </c>
      <c r="Y43" s="138">
        <f t="shared" si="8"/>
        <v>180</v>
      </c>
      <c r="Z43" s="141">
        <f t="shared" si="9"/>
        <v>4.000000000000043</v>
      </c>
      <c r="AA43" s="142">
        <f t="shared" si="10"/>
        <v>90.00000000000001</v>
      </c>
      <c r="AB43" s="143">
        <f t="shared" si="11"/>
        <v>90.00000000000001</v>
      </c>
      <c r="AC43" s="144">
        <f t="shared" si="12"/>
        <v>-3.828317871046316E-16</v>
      </c>
      <c r="AD43" s="144">
        <f t="shared" si="13"/>
        <v>0.9975640502598242</v>
      </c>
      <c r="AE43" s="144">
        <f t="shared" si="14"/>
        <v>0.06975647374412604</v>
      </c>
      <c r="AF43" s="145">
        <f t="shared" si="15"/>
        <v>270</v>
      </c>
      <c r="AG43" s="143">
        <f t="shared" si="16"/>
        <v>4.000000000000043</v>
      </c>
      <c r="AH43" s="146">
        <f t="shared" si="17"/>
        <v>-8.134804816678969E-21</v>
      </c>
      <c r="AI43" s="128">
        <v>107</v>
      </c>
      <c r="AJ43" s="130">
        <v>124</v>
      </c>
      <c r="AK43" s="128">
        <v>310.4</v>
      </c>
      <c r="AL43" s="129">
        <v>-57.3</v>
      </c>
      <c r="AM43" s="140">
        <f t="shared" si="18"/>
        <v>139.60000000000002</v>
      </c>
      <c r="AN43" s="138">
        <f t="shared" si="19"/>
        <v>49.60000000000002</v>
      </c>
      <c r="AO43" s="141">
        <f t="shared" si="20"/>
        <v>4.000000000000043</v>
      </c>
      <c r="AP43" s="145"/>
      <c r="AQ43" s="147"/>
      <c r="AR43" s="145"/>
      <c r="AS43" s="130"/>
    </row>
    <row r="44" spans="1:45" ht="15">
      <c r="A44" s="105"/>
      <c r="B44" s="105"/>
      <c r="C44" s="105"/>
      <c r="D44" s="105"/>
      <c r="E44" s="105"/>
      <c r="F44" s="105"/>
      <c r="G44" s="108"/>
      <c r="H44" s="108"/>
      <c r="I44" s="109"/>
      <c r="J44" s="105"/>
      <c r="K44" s="105"/>
      <c r="L44" s="105"/>
      <c r="M44" s="105"/>
      <c r="N44" s="105"/>
      <c r="O44" s="105"/>
      <c r="P44" s="105"/>
      <c r="Q44" s="105"/>
      <c r="R44" s="105"/>
      <c r="S44" s="113"/>
      <c r="T44" s="113"/>
      <c r="U44" s="113"/>
      <c r="V44" s="114"/>
      <c r="W44" s="149"/>
      <c r="X44" s="114"/>
      <c r="Y44" s="114"/>
      <c r="Z44" s="114"/>
      <c r="AA44" s="124"/>
      <c r="AB44" s="119"/>
      <c r="AC44" s="120"/>
      <c r="AD44" s="120"/>
      <c r="AE44" s="120"/>
      <c r="AF44" s="121"/>
      <c r="AG44" s="119"/>
      <c r="AH44" s="120"/>
      <c r="AI44" s="105"/>
      <c r="AJ44" s="105"/>
      <c r="AK44" s="126"/>
      <c r="AL44" s="126"/>
      <c r="AM44" s="114"/>
      <c r="AN44" s="114" t="s">
        <v>135</v>
      </c>
      <c r="AO44" s="114"/>
      <c r="AP44" s="121"/>
      <c r="AQ44" s="124"/>
      <c r="AR44" s="121"/>
      <c r="AS44" s="105"/>
    </row>
    <row r="45" ht="15">
      <c r="AK45" s="266" t="s">
        <v>175</v>
      </c>
    </row>
  </sheetData>
  <sheetProtection/>
  <mergeCells count="17">
    <mergeCell ref="X1:Z1"/>
    <mergeCell ref="B1:B2"/>
    <mergeCell ref="C1:C2"/>
    <mergeCell ref="D1:D2"/>
    <mergeCell ref="E1:E2"/>
    <mergeCell ref="J1:J2"/>
    <mergeCell ref="K1:K2"/>
    <mergeCell ref="AA1:AH1"/>
    <mergeCell ref="AI1:AJ1"/>
    <mergeCell ref="AK1:AL1"/>
    <mergeCell ref="AM1:AO1"/>
    <mergeCell ref="AP1:AS1"/>
    <mergeCell ref="L1:L2"/>
    <mergeCell ref="M1:N1"/>
    <mergeCell ref="O1:P1"/>
    <mergeCell ref="Q1:R1"/>
    <mergeCell ref="S1:W1"/>
  </mergeCells>
  <dataValidations count="1">
    <dataValidation type="list" allowBlank="1" showInputMessage="1" showErrorMessage="1" sqref="AS3:AS41">
      <formula1>"N,R,SS"</formula1>
    </dataValidation>
  </dataValidations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09"/>
  <sheetViews>
    <sheetView zoomScale="71" zoomScaleNormal="71" zoomScalePageLayoutView="0" workbookViewId="0" topLeftCell="A1">
      <pane xSplit="7" ySplit="2" topLeftCell="AF107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J109" sqref="AJ109"/>
    </sheetView>
  </sheetViews>
  <sheetFormatPr defaultColWidth="12.50390625" defaultRowHeight="15.75"/>
  <cols>
    <col min="1" max="1" width="6.00390625" style="91" customWidth="1"/>
    <col min="2" max="2" width="3.50390625" style="91" customWidth="1"/>
    <col min="3" max="3" width="4.125" style="91" customWidth="1"/>
    <col min="4" max="4" width="3.50390625" style="91" customWidth="1"/>
    <col min="5" max="5" width="12.50390625" style="178" customWidth="1"/>
    <col min="6" max="11" width="9.875" style="91" customWidth="1"/>
    <col min="12" max="17" width="7.875" style="91" customWidth="1"/>
    <col min="18" max="33" width="6.875" style="91" customWidth="1"/>
    <col min="34" max="43" width="7.875" style="91" customWidth="1"/>
    <col min="44" max="44" width="9.875" style="91" customWidth="1"/>
    <col min="45" max="45" width="9.00390625" style="91" customWidth="1"/>
    <col min="46" max="16384" width="12.50390625" style="91" customWidth="1"/>
  </cols>
  <sheetData>
    <row r="1" spans="1:44" ht="27" customHeight="1">
      <c r="A1" s="88"/>
      <c r="B1" s="235" t="s">
        <v>0</v>
      </c>
      <c r="C1" s="235" t="s">
        <v>1</v>
      </c>
      <c r="D1" s="237" t="s">
        <v>134</v>
      </c>
      <c r="E1" s="239" t="s">
        <v>3</v>
      </c>
      <c r="F1" s="89" t="s">
        <v>4</v>
      </c>
      <c r="G1" s="89" t="s">
        <v>5</v>
      </c>
      <c r="H1" s="89" t="s">
        <v>6</v>
      </c>
      <c r="I1" s="241" t="s">
        <v>7</v>
      </c>
      <c r="J1" s="243" t="s">
        <v>8</v>
      </c>
      <c r="K1" s="246" t="s">
        <v>9</v>
      </c>
      <c r="L1" s="225" t="s">
        <v>10</v>
      </c>
      <c r="M1" s="226"/>
      <c r="N1" s="227" t="s">
        <v>11</v>
      </c>
      <c r="O1" s="228"/>
      <c r="P1" s="227" t="s">
        <v>131</v>
      </c>
      <c r="Q1" s="229"/>
      <c r="R1" s="216" t="s">
        <v>13</v>
      </c>
      <c r="S1" s="230"/>
      <c r="T1" s="230"/>
      <c r="U1" s="230"/>
      <c r="V1" s="230"/>
      <c r="W1" s="232" t="s">
        <v>130</v>
      </c>
      <c r="X1" s="233"/>
      <c r="Y1" s="234"/>
      <c r="Z1" s="215" t="s">
        <v>128</v>
      </c>
      <c r="AA1" s="216"/>
      <c r="AB1" s="216"/>
      <c r="AC1" s="216"/>
      <c r="AD1" s="216"/>
      <c r="AE1" s="216"/>
      <c r="AF1" s="216"/>
      <c r="AG1" s="217"/>
      <c r="AH1" s="218" t="s">
        <v>16</v>
      </c>
      <c r="AI1" s="245"/>
      <c r="AJ1" s="220" t="s">
        <v>17</v>
      </c>
      <c r="AK1" s="229"/>
      <c r="AL1" s="215" t="s">
        <v>129</v>
      </c>
      <c r="AM1" s="216"/>
      <c r="AN1" s="217"/>
      <c r="AO1" s="222" t="s">
        <v>128</v>
      </c>
      <c r="AP1" s="216"/>
      <c r="AQ1" s="216"/>
      <c r="AR1" s="217"/>
    </row>
    <row r="2" spans="1:45" ht="18" customHeight="1">
      <c r="A2" s="92" t="s">
        <v>20</v>
      </c>
      <c r="B2" s="236"/>
      <c r="C2" s="236"/>
      <c r="D2" s="238"/>
      <c r="E2" s="240"/>
      <c r="F2" s="93" t="s">
        <v>127</v>
      </c>
      <c r="G2" s="93" t="s">
        <v>127</v>
      </c>
      <c r="H2" s="93" t="s">
        <v>127</v>
      </c>
      <c r="I2" s="242"/>
      <c r="J2" s="244"/>
      <c r="K2" s="247"/>
      <c r="L2" s="95" t="s">
        <v>125</v>
      </c>
      <c r="M2" s="96" t="s">
        <v>22</v>
      </c>
      <c r="N2" s="96" t="s">
        <v>125</v>
      </c>
      <c r="O2" s="96" t="s">
        <v>22</v>
      </c>
      <c r="P2" s="97" t="s">
        <v>117</v>
      </c>
      <c r="Q2" s="98" t="s">
        <v>126</v>
      </c>
      <c r="R2" s="93" t="s">
        <v>121</v>
      </c>
      <c r="S2" s="93" t="s">
        <v>120</v>
      </c>
      <c r="T2" s="96" t="s">
        <v>119</v>
      </c>
      <c r="U2" s="93" t="s">
        <v>125</v>
      </c>
      <c r="V2" s="97" t="s">
        <v>22</v>
      </c>
      <c r="W2" s="95" t="s">
        <v>28</v>
      </c>
      <c r="X2" s="99" t="s">
        <v>124</v>
      </c>
      <c r="Y2" s="98" t="s">
        <v>22</v>
      </c>
      <c r="Z2" s="97" t="s">
        <v>123</v>
      </c>
      <c r="AA2" s="97" t="s">
        <v>122</v>
      </c>
      <c r="AB2" s="97" t="s">
        <v>121</v>
      </c>
      <c r="AC2" s="97" t="s">
        <v>120</v>
      </c>
      <c r="AD2" s="97" t="s">
        <v>119</v>
      </c>
      <c r="AE2" s="97" t="s">
        <v>116</v>
      </c>
      <c r="AF2" s="101" t="s">
        <v>115</v>
      </c>
      <c r="AG2" s="98" t="s">
        <v>114</v>
      </c>
      <c r="AH2" s="95" t="s">
        <v>35</v>
      </c>
      <c r="AI2" s="97" t="s">
        <v>36</v>
      </c>
      <c r="AJ2" s="95" t="s">
        <v>37</v>
      </c>
      <c r="AK2" s="98" t="s">
        <v>38</v>
      </c>
      <c r="AL2" s="95" t="s">
        <v>28</v>
      </c>
      <c r="AM2" s="96" t="s">
        <v>118</v>
      </c>
      <c r="AN2" s="98" t="s">
        <v>22</v>
      </c>
      <c r="AO2" s="99" t="s">
        <v>117</v>
      </c>
      <c r="AP2" s="97" t="s">
        <v>116</v>
      </c>
      <c r="AQ2" s="101" t="s">
        <v>115</v>
      </c>
      <c r="AR2" s="98" t="s">
        <v>114</v>
      </c>
      <c r="AS2" s="103" t="s">
        <v>113</v>
      </c>
    </row>
    <row r="3" spans="1:44" ht="15">
      <c r="A3" s="104" t="s">
        <v>139</v>
      </c>
      <c r="B3" s="105" t="s">
        <v>138</v>
      </c>
      <c r="C3" s="105" t="s">
        <v>170</v>
      </c>
      <c r="D3" s="177">
        <v>1</v>
      </c>
      <c r="E3" s="181" t="s">
        <v>48</v>
      </c>
      <c r="F3" s="105">
        <f>419+(I3/100)</f>
        <v>419.48</v>
      </c>
      <c r="G3" s="105">
        <f>419+(J3/100)</f>
        <v>419.49</v>
      </c>
      <c r="H3" s="182">
        <f aca="true" t="shared" si="0" ref="H3:H34">(F3+G3)/2</f>
        <v>419.485</v>
      </c>
      <c r="I3" s="110">
        <v>48</v>
      </c>
      <c r="J3" s="111">
        <v>49</v>
      </c>
      <c r="K3" s="105">
        <f aca="true" t="shared" si="1" ref="K3:K34">(+I3+J3)/2</f>
        <v>48.5</v>
      </c>
      <c r="L3" s="104">
        <v>270</v>
      </c>
      <c r="M3" s="105">
        <v>6</v>
      </c>
      <c r="N3" s="105">
        <v>180</v>
      </c>
      <c r="O3" s="105">
        <v>4</v>
      </c>
      <c r="P3" s="105"/>
      <c r="Q3" s="106"/>
      <c r="R3" s="113">
        <f aca="true" t="shared" si="2" ref="R3:R34">COS(M3*PI()/180)*SIN(L3*PI()/180)*(SIN(O3*PI()/180))-(COS(O3*PI()/180)*SIN(N3*PI()/180))*(SIN(M3*PI()/180))</f>
        <v>-0.0693743404822147</v>
      </c>
      <c r="S3" s="113">
        <f aca="true" t="shared" si="3" ref="S3:S34">(SIN(M3*PI()/180))*(COS(O3*PI()/180)*COS(N3*PI()/180))-(SIN(O3*PI()/180))*(COS(M3*PI()/180)*COS(L3*PI()/180))</f>
        <v>-0.10427383718471563</v>
      </c>
      <c r="T3" s="113">
        <f aca="true" t="shared" si="4" ref="T3:T34">(COS(M3*PI()/180)*COS(L3*PI()/180))*(COS(O3*PI()/180)*SIN(N3*PI()/180))-(COS(M3*PI()/180)*SIN(L3*PI()/180))*(COS(O3*PI()/180)*COS(N3*PI()/180))</f>
        <v>-0.9920992900156518</v>
      </c>
      <c r="U3" s="114">
        <f aca="true" t="shared" si="5" ref="U3:U34">IF(R3=0,IF(S3&gt;=0,90,270),IF(R3&gt;0,IF(S3&gt;=0,ATAN(S3/R3)*180/PI(),ATAN(S3/R3)*180/PI()+360),ATAN(S3/R3)*180/PI()+180))</f>
        <v>236.36381294147463</v>
      </c>
      <c r="V3" s="149">
        <f aca="true" t="shared" si="6" ref="V3:V34">ASIN(T3/SQRT(R3^2+S3^2+T3^2))*180/PI()</f>
        <v>-82.80501343661278</v>
      </c>
      <c r="W3" s="116">
        <f aca="true" t="shared" si="7" ref="W3:W10">IF(T3&lt;0,U3,IF(U3+180&gt;=360,U3-180,U3+180))</f>
        <v>236.36381294147463</v>
      </c>
      <c r="X3" s="114">
        <f aca="true" t="shared" si="8" ref="X3:X34">IF(W3-90&lt;0,W3+270,W3-90)</f>
        <v>146.36381294147463</v>
      </c>
      <c r="Y3" s="117">
        <f aca="true" t="shared" si="9" ref="Y3:Y34">IF(T3&lt;0,90+V3,90-V3)</f>
        <v>7.194986563387218</v>
      </c>
      <c r="Z3" s="124">
        <f aca="true" t="shared" si="10" ref="Z3:Z34">IF(-S3&lt;0,180-ACOS(SIN((W3-90)*PI()/180)*T3/SQRT(S3^2+T3^2))*180/PI(),ACOS(SIN((W3-90)*PI()/180)*T3/SQRT(S3^2+T3^2))*180/PI())</f>
        <v>123.4276170593289</v>
      </c>
      <c r="AA3" s="119">
        <f aca="true" t="shared" si="11" ref="AA3:AA34">IF(Q3=90,IF(Z3-P3&lt;0,Z3-P3+180,Z3-P3),IF(Z3+P3&gt;180,Z3+P3-180,Z3+P3))</f>
        <v>123.4276170593289</v>
      </c>
      <c r="AB3" s="120">
        <f aca="true" t="shared" si="12" ref="AB3:AB34">COS(AA3*PI()/180)</f>
        <v>-0.5508830799844991</v>
      </c>
      <c r="AC3" s="120">
        <f aca="true" t="shared" si="13" ref="AC3:AC34">SIN(AA3*PI()/180)*COS(Y3*PI()/180)</f>
        <v>0.8280106476088909</v>
      </c>
      <c r="AD3" s="120">
        <f aca="true" t="shared" si="14" ref="AD3:AD34">SIN(AA3*PI()/180)*SIN(Y3*PI()/180)</f>
        <v>0.1045284632676531</v>
      </c>
      <c r="AE3" s="121">
        <f aca="true" t="shared" si="15" ref="AE3:AE34">IF(IF(AB3=0,IF(AC3&gt;=0,90,270),IF(AB3&gt;0,IF(AC3&gt;=0,ATAN(AC3/AB3)*180/PI(),ATAN(AC3/AB3)*180/PI()+360),ATAN(AC3/AB3)*180/PI()+180))-(360-X3)&lt;0,IF(AB3=0,IF(AC3&gt;=0,90,270),IF(AB3&gt;0,IF(AC3&gt;=0,ATAN(AC3/AB3)*180/PI(),ATAN(AC3/AB3)*180/PI()+360),ATAN(AC3/AB3)*180/PI()+180))+X3,IF(AB3=0,IF(AC3&gt;=0,90,270),IF(AB3&gt;0,IF(AC3&gt;=0,ATAN(AC3/AB3)*180/PI(),ATAN(AC3/AB3)*180/PI()+360),ATAN(AC3/AB3)*180/PI()+180))-(360-X3))</f>
        <v>270</v>
      </c>
      <c r="AF3" s="119">
        <f aca="true" t="shared" si="16" ref="AF3:AF34">ASIN(AD3/SQRT(AB3^2+AC3^2+AD3^2))*180/PI()</f>
        <v>5.999999999999979</v>
      </c>
      <c r="AG3" s="120">
        <f aca="true" t="shared" si="17" ref="AG3:AG34">SIN(AD3*PI()/180)*SIN(AB3*PI()/180)</f>
        <v>-1.754049326229011E-05</v>
      </c>
      <c r="AH3" s="104"/>
      <c r="AI3" s="105"/>
      <c r="AJ3" s="125"/>
      <c r="AK3" s="179"/>
      <c r="AL3" s="123"/>
      <c r="AM3" s="114"/>
      <c r="AN3" s="117"/>
      <c r="AO3" s="121"/>
      <c r="AP3" s="124"/>
      <c r="AQ3" s="121"/>
      <c r="AR3" s="127"/>
    </row>
    <row r="4" spans="1:44" ht="15">
      <c r="A4" s="104" t="s">
        <v>139</v>
      </c>
      <c r="B4" s="105" t="s">
        <v>138</v>
      </c>
      <c r="C4" s="105" t="s">
        <v>170</v>
      </c>
      <c r="D4" s="106">
        <v>3</v>
      </c>
      <c r="E4" s="181" t="s">
        <v>48</v>
      </c>
      <c r="F4" s="105">
        <f>420.43+(I4/100)</f>
        <v>421.04</v>
      </c>
      <c r="G4" s="105">
        <f>420.43+(J4/100)</f>
        <v>421.05</v>
      </c>
      <c r="H4" s="182">
        <f t="shared" si="0"/>
        <v>421.045</v>
      </c>
      <c r="I4" s="110">
        <v>61</v>
      </c>
      <c r="J4" s="111">
        <v>62</v>
      </c>
      <c r="K4" s="105">
        <f t="shared" si="1"/>
        <v>61.5</v>
      </c>
      <c r="L4" s="104">
        <v>90</v>
      </c>
      <c r="M4" s="105">
        <v>6</v>
      </c>
      <c r="N4" s="105">
        <v>0</v>
      </c>
      <c r="O4" s="105">
        <v>7</v>
      </c>
      <c r="P4" s="105"/>
      <c r="Q4" s="106"/>
      <c r="R4" s="113">
        <f t="shared" si="2"/>
        <v>0.12120173039057425</v>
      </c>
      <c r="S4" s="113">
        <f t="shared" si="3"/>
        <v>0.10374932395329071</v>
      </c>
      <c r="T4" s="113">
        <f t="shared" si="4"/>
        <v>-0.9871088799708131</v>
      </c>
      <c r="U4" s="114">
        <f t="shared" si="5"/>
        <v>40.563700868029294</v>
      </c>
      <c r="V4" s="149">
        <f t="shared" si="6"/>
        <v>-80.81891132138495</v>
      </c>
      <c r="W4" s="116">
        <f t="shared" si="7"/>
        <v>40.563700868029294</v>
      </c>
      <c r="X4" s="114">
        <f t="shared" si="8"/>
        <v>310.5637008680293</v>
      </c>
      <c r="Y4" s="117">
        <f t="shared" si="9"/>
        <v>9.181088678615055</v>
      </c>
      <c r="Z4" s="124">
        <f t="shared" si="10"/>
        <v>139.07098621282898</v>
      </c>
      <c r="AA4" s="119">
        <f t="shared" si="11"/>
        <v>139.07098621282898</v>
      </c>
      <c r="AB4" s="120">
        <f t="shared" si="12"/>
        <v>-0.7555218206144985</v>
      </c>
      <c r="AC4" s="120">
        <f t="shared" si="13"/>
        <v>0.6467306850167669</v>
      </c>
      <c r="AD4" s="120">
        <f t="shared" si="14"/>
        <v>0.10452846326765276</v>
      </c>
      <c r="AE4" s="121">
        <f t="shared" si="15"/>
        <v>90</v>
      </c>
      <c r="AF4" s="119">
        <f t="shared" si="16"/>
        <v>5.999999999999959</v>
      </c>
      <c r="AG4" s="120">
        <f t="shared" si="17"/>
        <v>-2.405600392432046E-05</v>
      </c>
      <c r="AH4" s="104"/>
      <c r="AI4" s="105"/>
      <c r="AJ4" s="125"/>
      <c r="AK4" s="179"/>
      <c r="AL4" s="116"/>
      <c r="AM4" s="114"/>
      <c r="AN4" s="117"/>
      <c r="AO4" s="121"/>
      <c r="AP4" s="124"/>
      <c r="AQ4" s="121"/>
      <c r="AR4" s="127"/>
    </row>
    <row r="5" spans="1:44" ht="15">
      <c r="A5" s="104" t="s">
        <v>139</v>
      </c>
      <c r="B5" s="105" t="s">
        <v>138</v>
      </c>
      <c r="C5" s="105" t="s">
        <v>170</v>
      </c>
      <c r="D5" s="106">
        <v>3</v>
      </c>
      <c r="E5" s="181" t="s">
        <v>48</v>
      </c>
      <c r="F5" s="105">
        <f>420.43+(I5/100)</f>
        <v>421.15000000000003</v>
      </c>
      <c r="G5" s="105">
        <f>420.43+(J5/100)</f>
        <v>421.15000000000003</v>
      </c>
      <c r="H5" s="182">
        <f t="shared" si="0"/>
        <v>421.15000000000003</v>
      </c>
      <c r="I5" s="110">
        <v>72</v>
      </c>
      <c r="J5" s="111">
        <v>72</v>
      </c>
      <c r="K5" s="105">
        <f t="shared" si="1"/>
        <v>72</v>
      </c>
      <c r="L5" s="104">
        <v>90</v>
      </c>
      <c r="M5" s="105">
        <v>0</v>
      </c>
      <c r="N5" s="105">
        <v>0</v>
      </c>
      <c r="O5" s="105">
        <v>0</v>
      </c>
      <c r="P5" s="105"/>
      <c r="Q5" s="106"/>
      <c r="R5" s="113">
        <f t="shared" si="2"/>
        <v>0</v>
      </c>
      <c r="S5" s="113">
        <f t="shared" si="3"/>
        <v>0</v>
      </c>
      <c r="T5" s="113">
        <f t="shared" si="4"/>
        <v>-1</v>
      </c>
      <c r="U5" s="114">
        <f t="shared" si="5"/>
        <v>90</v>
      </c>
      <c r="V5" s="149">
        <f t="shared" si="6"/>
        <v>-90</v>
      </c>
      <c r="W5" s="116">
        <f t="shared" si="7"/>
        <v>90</v>
      </c>
      <c r="X5" s="114">
        <f t="shared" si="8"/>
        <v>0</v>
      </c>
      <c r="Y5" s="117">
        <f t="shared" si="9"/>
        <v>0</v>
      </c>
      <c r="Z5" s="124">
        <f t="shared" si="10"/>
        <v>90</v>
      </c>
      <c r="AA5" s="119">
        <f t="shared" si="11"/>
        <v>90</v>
      </c>
      <c r="AB5" s="120">
        <f t="shared" si="12"/>
        <v>6.1257422745431E-17</v>
      </c>
      <c r="AC5" s="120">
        <f t="shared" si="13"/>
        <v>1</v>
      </c>
      <c r="AD5" s="120">
        <f t="shared" si="14"/>
        <v>0</v>
      </c>
      <c r="AE5" s="121">
        <f t="shared" si="15"/>
        <v>90</v>
      </c>
      <c r="AF5" s="119">
        <f t="shared" si="16"/>
        <v>0</v>
      </c>
      <c r="AG5" s="120">
        <f t="shared" si="17"/>
        <v>0</v>
      </c>
      <c r="AH5" s="104"/>
      <c r="AI5" s="105"/>
      <c r="AJ5" s="125"/>
      <c r="AK5" s="179"/>
      <c r="AL5" s="116"/>
      <c r="AM5" s="114"/>
      <c r="AN5" s="117"/>
      <c r="AO5" s="121"/>
      <c r="AP5" s="124"/>
      <c r="AQ5" s="121"/>
      <c r="AR5" s="127"/>
    </row>
    <row r="6" spans="1:44" ht="15">
      <c r="A6" s="104" t="s">
        <v>139</v>
      </c>
      <c r="B6" s="105" t="s">
        <v>138</v>
      </c>
      <c r="C6" s="105" t="s">
        <v>170</v>
      </c>
      <c r="D6" s="106">
        <v>4</v>
      </c>
      <c r="E6" s="181" t="s">
        <v>48</v>
      </c>
      <c r="F6" s="105">
        <f aca="true" t="shared" si="18" ref="F6:G9">421.41+(I6/100)</f>
        <v>421.48</v>
      </c>
      <c r="G6" s="105">
        <f t="shared" si="18"/>
        <v>421.49</v>
      </c>
      <c r="H6" s="182">
        <f t="shared" si="0"/>
        <v>421.485</v>
      </c>
      <c r="I6" s="110">
        <v>7</v>
      </c>
      <c r="J6" s="111">
        <v>8</v>
      </c>
      <c r="K6" s="105">
        <f t="shared" si="1"/>
        <v>7.5</v>
      </c>
      <c r="L6" s="104">
        <v>90</v>
      </c>
      <c r="M6" s="105">
        <v>3</v>
      </c>
      <c r="N6" s="105">
        <v>0</v>
      </c>
      <c r="O6" s="105">
        <v>3</v>
      </c>
      <c r="P6" s="105"/>
      <c r="Q6" s="106"/>
      <c r="R6" s="113">
        <f t="shared" si="2"/>
        <v>0.05226423163382673</v>
      </c>
      <c r="S6" s="113">
        <f t="shared" si="3"/>
        <v>0.05226423163382673</v>
      </c>
      <c r="T6" s="113">
        <f t="shared" si="4"/>
        <v>-0.9972609476841365</v>
      </c>
      <c r="U6" s="114">
        <f t="shared" si="5"/>
        <v>45</v>
      </c>
      <c r="V6" s="149">
        <f t="shared" si="6"/>
        <v>-85.76122797743554</v>
      </c>
      <c r="W6" s="116">
        <f t="shared" si="7"/>
        <v>45</v>
      </c>
      <c r="X6" s="114">
        <f t="shared" si="8"/>
        <v>315</v>
      </c>
      <c r="Y6" s="117">
        <f t="shared" si="9"/>
        <v>4.238772022564461</v>
      </c>
      <c r="Z6" s="124">
        <f t="shared" si="10"/>
        <v>134.92153183310086</v>
      </c>
      <c r="AA6" s="119">
        <f t="shared" si="11"/>
        <v>134.92153183310086</v>
      </c>
      <c r="AB6" s="120">
        <f t="shared" si="12"/>
        <v>-0.7061377159181264</v>
      </c>
      <c r="AC6" s="120">
        <f t="shared" si="13"/>
        <v>0.7061377159181261</v>
      </c>
      <c r="AD6" s="120">
        <f t="shared" si="14"/>
        <v>0.05233595624294392</v>
      </c>
      <c r="AE6" s="121">
        <f t="shared" si="15"/>
        <v>90</v>
      </c>
      <c r="AF6" s="119">
        <f t="shared" si="16"/>
        <v>3.000000000000005</v>
      </c>
      <c r="AG6" s="120">
        <f t="shared" si="17"/>
        <v>-1.125727440767848E-05</v>
      </c>
      <c r="AH6" s="104"/>
      <c r="AI6" s="105"/>
      <c r="AJ6" s="125"/>
      <c r="AK6" s="179"/>
      <c r="AL6" s="116"/>
      <c r="AM6" s="114"/>
      <c r="AN6" s="117"/>
      <c r="AO6" s="121"/>
      <c r="AP6" s="124"/>
      <c r="AQ6" s="121"/>
      <c r="AR6" s="127"/>
    </row>
    <row r="7" spans="1:44" ht="15">
      <c r="A7" s="104" t="s">
        <v>139</v>
      </c>
      <c r="B7" s="105" t="s">
        <v>138</v>
      </c>
      <c r="C7" s="105" t="s">
        <v>170</v>
      </c>
      <c r="D7" s="106">
        <v>4</v>
      </c>
      <c r="E7" s="181" t="s">
        <v>48</v>
      </c>
      <c r="F7" s="105">
        <f t="shared" si="18"/>
        <v>421.5</v>
      </c>
      <c r="G7" s="105">
        <f t="shared" si="18"/>
        <v>421.51000000000005</v>
      </c>
      <c r="H7" s="182">
        <f t="shared" si="0"/>
        <v>421.505</v>
      </c>
      <c r="I7" s="110">
        <v>9</v>
      </c>
      <c r="J7" s="111">
        <v>10</v>
      </c>
      <c r="K7" s="105">
        <f t="shared" si="1"/>
        <v>9.5</v>
      </c>
      <c r="L7" s="104">
        <v>90</v>
      </c>
      <c r="M7" s="105">
        <v>0</v>
      </c>
      <c r="N7" s="105">
        <v>0</v>
      </c>
      <c r="O7" s="105">
        <v>0</v>
      </c>
      <c r="P7" s="105"/>
      <c r="Q7" s="106"/>
      <c r="R7" s="113">
        <f t="shared" si="2"/>
        <v>0</v>
      </c>
      <c r="S7" s="113">
        <f t="shared" si="3"/>
        <v>0</v>
      </c>
      <c r="T7" s="113">
        <f t="shared" si="4"/>
        <v>-1</v>
      </c>
      <c r="U7" s="114">
        <f t="shared" si="5"/>
        <v>90</v>
      </c>
      <c r="V7" s="149">
        <f t="shared" si="6"/>
        <v>-90</v>
      </c>
      <c r="W7" s="116">
        <f t="shared" si="7"/>
        <v>90</v>
      </c>
      <c r="X7" s="114">
        <f t="shared" si="8"/>
        <v>0</v>
      </c>
      <c r="Y7" s="117">
        <f t="shared" si="9"/>
        <v>0</v>
      </c>
      <c r="Z7" s="124">
        <f t="shared" si="10"/>
        <v>90</v>
      </c>
      <c r="AA7" s="119">
        <f t="shared" si="11"/>
        <v>90</v>
      </c>
      <c r="AB7" s="120">
        <f t="shared" si="12"/>
        <v>6.1257422745431E-17</v>
      </c>
      <c r="AC7" s="120">
        <f t="shared" si="13"/>
        <v>1</v>
      </c>
      <c r="AD7" s="120">
        <f t="shared" si="14"/>
        <v>0</v>
      </c>
      <c r="AE7" s="121">
        <f t="shared" si="15"/>
        <v>90</v>
      </c>
      <c r="AF7" s="119">
        <f t="shared" si="16"/>
        <v>0</v>
      </c>
      <c r="AG7" s="120">
        <f t="shared" si="17"/>
        <v>0</v>
      </c>
      <c r="AH7" s="104"/>
      <c r="AI7" s="105"/>
      <c r="AJ7" s="125"/>
      <c r="AK7" s="179"/>
      <c r="AL7" s="116"/>
      <c r="AM7" s="114"/>
      <c r="AN7" s="117"/>
      <c r="AO7" s="121"/>
      <c r="AP7" s="124"/>
      <c r="AQ7" s="121"/>
      <c r="AR7" s="127"/>
    </row>
    <row r="8" spans="1:44" ht="15">
      <c r="A8" s="104" t="s">
        <v>139</v>
      </c>
      <c r="B8" s="105" t="s">
        <v>138</v>
      </c>
      <c r="C8" s="105" t="s">
        <v>170</v>
      </c>
      <c r="D8" s="106">
        <v>4</v>
      </c>
      <c r="E8" s="181" t="s">
        <v>48</v>
      </c>
      <c r="F8" s="105">
        <f t="shared" si="18"/>
        <v>421.82000000000005</v>
      </c>
      <c r="G8" s="105">
        <f t="shared" si="18"/>
        <v>421.82000000000005</v>
      </c>
      <c r="H8" s="182">
        <f t="shared" si="0"/>
        <v>421.82000000000005</v>
      </c>
      <c r="I8" s="110">
        <v>41</v>
      </c>
      <c r="J8" s="111">
        <v>41</v>
      </c>
      <c r="K8" s="105">
        <f t="shared" si="1"/>
        <v>41</v>
      </c>
      <c r="L8" s="104">
        <v>270</v>
      </c>
      <c r="M8" s="105">
        <v>2</v>
      </c>
      <c r="N8" s="105">
        <v>0</v>
      </c>
      <c r="O8" s="105">
        <v>0</v>
      </c>
      <c r="P8" s="105"/>
      <c r="Q8" s="106"/>
      <c r="R8" s="113">
        <f t="shared" si="2"/>
        <v>0</v>
      </c>
      <c r="S8" s="113">
        <f t="shared" si="3"/>
        <v>0.03489949670250097</v>
      </c>
      <c r="T8" s="113">
        <f t="shared" si="4"/>
        <v>0.9993908270190958</v>
      </c>
      <c r="U8" s="114">
        <f t="shared" si="5"/>
        <v>90</v>
      </c>
      <c r="V8" s="149">
        <f t="shared" si="6"/>
        <v>88.00000000000006</v>
      </c>
      <c r="W8" s="116">
        <f t="shared" si="7"/>
        <v>270</v>
      </c>
      <c r="X8" s="114">
        <f t="shared" si="8"/>
        <v>180</v>
      </c>
      <c r="Y8" s="117">
        <f t="shared" si="9"/>
        <v>1.9999999999999432</v>
      </c>
      <c r="Z8" s="124">
        <f t="shared" si="10"/>
        <v>90.00000000000001</v>
      </c>
      <c r="AA8" s="119">
        <f t="shared" si="11"/>
        <v>90.00000000000001</v>
      </c>
      <c r="AB8" s="120">
        <f t="shared" si="12"/>
        <v>-3.828317871046316E-16</v>
      </c>
      <c r="AC8" s="120">
        <f t="shared" si="13"/>
        <v>0.9993908270190958</v>
      </c>
      <c r="AD8" s="120">
        <f t="shared" si="14"/>
        <v>0.03489949670249998</v>
      </c>
      <c r="AE8" s="121">
        <f t="shared" si="15"/>
        <v>270</v>
      </c>
      <c r="AF8" s="119">
        <f t="shared" si="16"/>
        <v>1.999999999999943</v>
      </c>
      <c r="AG8" s="120">
        <f t="shared" si="17"/>
        <v>-4.069882424058716E-21</v>
      </c>
      <c r="AH8" s="104"/>
      <c r="AI8" s="105"/>
      <c r="AJ8" s="125"/>
      <c r="AK8" s="179"/>
      <c r="AL8" s="116"/>
      <c r="AM8" s="114"/>
      <c r="AN8" s="117"/>
      <c r="AO8" s="121"/>
      <c r="AP8" s="124"/>
      <c r="AQ8" s="121"/>
      <c r="AR8" s="127"/>
    </row>
    <row r="9" spans="1:44" ht="15">
      <c r="A9" s="104" t="s">
        <v>139</v>
      </c>
      <c r="B9" s="105" t="s">
        <v>138</v>
      </c>
      <c r="C9" s="105" t="s">
        <v>170</v>
      </c>
      <c r="D9" s="106">
        <v>4</v>
      </c>
      <c r="E9" s="181" t="s">
        <v>48</v>
      </c>
      <c r="F9" s="105">
        <f t="shared" si="18"/>
        <v>422.25</v>
      </c>
      <c r="G9" s="105">
        <f t="shared" si="18"/>
        <v>422.25</v>
      </c>
      <c r="H9" s="182">
        <f t="shared" si="0"/>
        <v>422.25</v>
      </c>
      <c r="I9" s="110">
        <v>84</v>
      </c>
      <c r="J9" s="111">
        <v>84</v>
      </c>
      <c r="K9" s="105">
        <f t="shared" si="1"/>
        <v>84</v>
      </c>
      <c r="L9" s="104">
        <v>270</v>
      </c>
      <c r="M9" s="105">
        <v>3</v>
      </c>
      <c r="N9" s="105">
        <v>180</v>
      </c>
      <c r="O9" s="105">
        <v>5</v>
      </c>
      <c r="P9" s="105"/>
      <c r="Q9" s="106"/>
      <c r="R9" s="113">
        <f t="shared" si="2"/>
        <v>-0.0870362988312832</v>
      </c>
      <c r="S9" s="113">
        <f t="shared" si="3"/>
        <v>-0.05213680212878222</v>
      </c>
      <c r="T9" s="113">
        <f t="shared" si="4"/>
        <v>-0.994829447880333</v>
      </c>
      <c r="U9" s="114">
        <f t="shared" si="5"/>
        <v>210.9226062699279</v>
      </c>
      <c r="V9" s="149">
        <f t="shared" si="6"/>
        <v>-84.17685049823567</v>
      </c>
      <c r="W9" s="116">
        <f t="shared" si="7"/>
        <v>210.9226062699279</v>
      </c>
      <c r="X9" s="114">
        <f t="shared" si="8"/>
        <v>120.92260626992791</v>
      </c>
      <c r="Y9" s="117">
        <f t="shared" si="9"/>
        <v>5.823149501764334</v>
      </c>
      <c r="Z9" s="124">
        <f t="shared" si="10"/>
        <v>148.94655989184957</v>
      </c>
      <c r="AA9" s="119">
        <f t="shared" si="11"/>
        <v>148.94655989184957</v>
      </c>
      <c r="AB9" s="120">
        <f t="shared" si="12"/>
        <v>-0.8566865489094379</v>
      </c>
      <c r="AC9" s="120">
        <f t="shared" si="13"/>
        <v>0.5131755105242007</v>
      </c>
      <c r="AD9" s="120">
        <f t="shared" si="14"/>
        <v>0.0523359562429439</v>
      </c>
      <c r="AE9" s="121">
        <f t="shared" si="15"/>
        <v>270</v>
      </c>
      <c r="AF9" s="119">
        <f t="shared" si="16"/>
        <v>3.000000000000004</v>
      </c>
      <c r="AG9" s="120">
        <f t="shared" si="17"/>
        <v>-1.3657166507254223E-05</v>
      </c>
      <c r="AH9" s="104"/>
      <c r="AI9" s="105"/>
      <c r="AJ9" s="125"/>
      <c r="AK9" s="179"/>
      <c r="AL9" s="116"/>
      <c r="AM9" s="114"/>
      <c r="AN9" s="117"/>
      <c r="AO9" s="121"/>
      <c r="AP9" s="124"/>
      <c r="AQ9" s="121"/>
      <c r="AR9" s="127"/>
    </row>
    <row r="10" spans="1:44" ht="15">
      <c r="A10" s="104" t="s">
        <v>139</v>
      </c>
      <c r="B10" s="105" t="s">
        <v>138</v>
      </c>
      <c r="C10" s="105" t="s">
        <v>169</v>
      </c>
      <c r="D10" s="106">
        <v>1</v>
      </c>
      <c r="E10" s="181" t="s">
        <v>48</v>
      </c>
      <c r="F10" s="105">
        <f>428.5+(I10/100)</f>
        <v>429.06</v>
      </c>
      <c r="G10" s="105">
        <f>428.5+(J10/100)</f>
        <v>429.06</v>
      </c>
      <c r="H10" s="182">
        <f t="shared" si="0"/>
        <v>429.06</v>
      </c>
      <c r="I10" s="110">
        <v>56</v>
      </c>
      <c r="J10" s="111">
        <v>56</v>
      </c>
      <c r="K10" s="105">
        <f t="shared" si="1"/>
        <v>56</v>
      </c>
      <c r="L10" s="104">
        <v>270</v>
      </c>
      <c r="M10" s="105">
        <v>5</v>
      </c>
      <c r="N10" s="105">
        <v>180</v>
      </c>
      <c r="O10" s="105">
        <v>10</v>
      </c>
      <c r="P10" s="105"/>
      <c r="Q10" s="106"/>
      <c r="R10" s="113">
        <f t="shared" si="2"/>
        <v>-0.17298739392508944</v>
      </c>
      <c r="S10" s="113">
        <f t="shared" si="3"/>
        <v>-0.08583165117743126</v>
      </c>
      <c r="T10" s="113">
        <f t="shared" si="4"/>
        <v>-0.9810602621904069</v>
      </c>
      <c r="U10" s="114">
        <f t="shared" si="5"/>
        <v>206.3893599088931</v>
      </c>
      <c r="V10" s="149">
        <f t="shared" si="6"/>
        <v>-78.86433605880526</v>
      </c>
      <c r="W10" s="116">
        <f t="shared" si="7"/>
        <v>206.3893599088931</v>
      </c>
      <c r="X10" s="114">
        <f t="shared" si="8"/>
        <v>116.38935990889311</v>
      </c>
      <c r="Y10" s="117">
        <f t="shared" si="9"/>
        <v>11.135663941194736</v>
      </c>
      <c r="Z10" s="124">
        <f t="shared" si="10"/>
        <v>153.1745615541919</v>
      </c>
      <c r="AA10" s="119">
        <f t="shared" si="11"/>
        <v>153.1745615541919</v>
      </c>
      <c r="AB10" s="120">
        <f t="shared" si="12"/>
        <v>-0.8923855477836364</v>
      </c>
      <c r="AC10" s="120">
        <f t="shared" si="13"/>
        <v>0.44277749560360813</v>
      </c>
      <c r="AD10" s="120">
        <f t="shared" si="14"/>
        <v>0.08715574274765811</v>
      </c>
      <c r="AE10" s="121">
        <f t="shared" si="15"/>
        <v>270</v>
      </c>
      <c r="AF10" s="119">
        <f t="shared" si="16"/>
        <v>4.9999999999999964</v>
      </c>
      <c r="AG10" s="120">
        <f t="shared" si="17"/>
        <v>-2.3691117430396317E-05</v>
      </c>
      <c r="AH10" s="104"/>
      <c r="AI10" s="105"/>
      <c r="AJ10" s="125"/>
      <c r="AK10" s="179"/>
      <c r="AL10" s="116"/>
      <c r="AM10" s="114"/>
      <c r="AN10" s="117"/>
      <c r="AO10" s="121"/>
      <c r="AP10" s="124"/>
      <c r="AQ10" s="121"/>
      <c r="AR10" s="127"/>
    </row>
    <row r="11" spans="1:44" ht="15">
      <c r="A11" s="104" t="s">
        <v>139</v>
      </c>
      <c r="B11" s="105" t="s">
        <v>138</v>
      </c>
      <c r="C11" s="105" t="s">
        <v>169</v>
      </c>
      <c r="D11" s="106">
        <v>2</v>
      </c>
      <c r="E11" s="181" t="s">
        <v>48</v>
      </c>
      <c r="F11" s="105">
        <f aca="true" t="shared" si="19" ref="F11:G14">429.605+(I11/100)</f>
        <v>429.70500000000004</v>
      </c>
      <c r="G11" s="105">
        <f t="shared" si="19"/>
        <v>429.71500000000003</v>
      </c>
      <c r="H11" s="182">
        <f t="shared" si="0"/>
        <v>429.71000000000004</v>
      </c>
      <c r="I11" s="110">
        <v>10</v>
      </c>
      <c r="J11" s="111">
        <v>11</v>
      </c>
      <c r="K11" s="105">
        <f t="shared" si="1"/>
        <v>10.5</v>
      </c>
      <c r="L11" s="104">
        <v>270</v>
      </c>
      <c r="M11" s="105">
        <v>2</v>
      </c>
      <c r="N11" s="105">
        <v>180</v>
      </c>
      <c r="O11" s="105">
        <v>8</v>
      </c>
      <c r="P11" s="105"/>
      <c r="Q11" s="106"/>
      <c r="R11" s="113">
        <f t="shared" si="2"/>
        <v>-0.13908832046729191</v>
      </c>
      <c r="S11" s="113">
        <f t="shared" si="3"/>
        <v>-0.03455985719963841</v>
      </c>
      <c r="T11" s="113">
        <f t="shared" si="4"/>
        <v>-0.9896648241902408</v>
      </c>
      <c r="U11" s="114">
        <f t="shared" si="5"/>
        <v>193.9539337793987</v>
      </c>
      <c r="V11" s="149">
        <f t="shared" si="6"/>
        <v>-81.76003283137152</v>
      </c>
      <c r="W11" s="116">
        <v>270</v>
      </c>
      <c r="X11" s="114">
        <f t="shared" si="8"/>
        <v>180</v>
      </c>
      <c r="Y11" s="117">
        <f t="shared" si="9"/>
        <v>8.239967168628482</v>
      </c>
      <c r="Z11" s="124">
        <f t="shared" si="10"/>
        <v>90.00000000000001</v>
      </c>
      <c r="AA11" s="119">
        <f t="shared" si="11"/>
        <v>90.00000000000001</v>
      </c>
      <c r="AB11" s="120">
        <f t="shared" si="12"/>
        <v>-3.828317871046316E-16</v>
      </c>
      <c r="AC11" s="120">
        <f t="shared" si="13"/>
        <v>0.9896764980577133</v>
      </c>
      <c r="AD11" s="120">
        <f t="shared" si="14"/>
        <v>0.14331932595508887</v>
      </c>
      <c r="AE11" s="121">
        <f t="shared" si="15"/>
        <v>270</v>
      </c>
      <c r="AF11" s="119">
        <f t="shared" si="16"/>
        <v>8.239967168628482</v>
      </c>
      <c r="AG11" s="120">
        <f t="shared" si="17"/>
        <v>-1.6713485541037814E-20</v>
      </c>
      <c r="AH11" s="104"/>
      <c r="AI11" s="105"/>
      <c r="AJ11" s="125"/>
      <c r="AK11" s="179"/>
      <c r="AL11" s="116"/>
      <c r="AM11" s="114"/>
      <c r="AN11" s="117"/>
      <c r="AO11" s="121"/>
      <c r="AP11" s="124"/>
      <c r="AQ11" s="121"/>
      <c r="AR11" s="127"/>
    </row>
    <row r="12" spans="1:44" ht="15">
      <c r="A12" s="104" t="s">
        <v>139</v>
      </c>
      <c r="B12" s="105" t="s">
        <v>138</v>
      </c>
      <c r="C12" s="105" t="s">
        <v>169</v>
      </c>
      <c r="D12" s="106">
        <v>2</v>
      </c>
      <c r="E12" s="181" t="s">
        <v>48</v>
      </c>
      <c r="F12" s="105">
        <f t="shared" si="19"/>
        <v>429.755</v>
      </c>
      <c r="G12" s="105">
        <f t="shared" si="19"/>
        <v>429.755</v>
      </c>
      <c r="H12" s="182">
        <f t="shared" si="0"/>
        <v>429.755</v>
      </c>
      <c r="I12" s="110">
        <v>15</v>
      </c>
      <c r="J12" s="111">
        <v>15</v>
      </c>
      <c r="K12" s="105">
        <f t="shared" si="1"/>
        <v>15</v>
      </c>
      <c r="L12" s="104">
        <v>90</v>
      </c>
      <c r="M12" s="105">
        <v>4</v>
      </c>
      <c r="N12" s="105">
        <v>180</v>
      </c>
      <c r="O12" s="105">
        <v>6</v>
      </c>
      <c r="P12" s="105"/>
      <c r="Q12" s="106"/>
      <c r="R12" s="113">
        <f t="shared" si="2"/>
        <v>0.10427383718471563</v>
      </c>
      <c r="S12" s="113">
        <f t="shared" si="3"/>
        <v>-0.06937434048221469</v>
      </c>
      <c r="T12" s="113">
        <f t="shared" si="4"/>
        <v>0.9920992900156518</v>
      </c>
      <c r="U12" s="114">
        <f t="shared" si="5"/>
        <v>326.36381294147463</v>
      </c>
      <c r="V12" s="149">
        <f t="shared" si="6"/>
        <v>82.80501343661278</v>
      </c>
      <c r="W12" s="116">
        <f aca="true" t="shared" si="20" ref="W12:W43">IF(T12&lt;0,U12,IF(U12+180&gt;=360,U12-180,U12+180))</f>
        <v>146.36381294147463</v>
      </c>
      <c r="X12" s="114">
        <f t="shared" si="8"/>
        <v>56.363812941474634</v>
      </c>
      <c r="Y12" s="117">
        <f t="shared" si="9"/>
        <v>7.194986563387218</v>
      </c>
      <c r="Z12" s="124">
        <f t="shared" si="10"/>
        <v>33.84539505781192</v>
      </c>
      <c r="AA12" s="119">
        <f t="shared" si="11"/>
        <v>33.84539505781192</v>
      </c>
      <c r="AB12" s="120">
        <f t="shared" si="12"/>
        <v>0.8305434592579969</v>
      </c>
      <c r="AC12" s="120">
        <f t="shared" si="13"/>
        <v>0.5525681828105425</v>
      </c>
      <c r="AD12" s="120">
        <f t="shared" si="14"/>
        <v>0.0697564737441251</v>
      </c>
      <c r="AE12" s="121">
        <f t="shared" si="15"/>
        <v>89.99999999999999</v>
      </c>
      <c r="AF12" s="119">
        <f t="shared" si="16"/>
        <v>3.999999999999988</v>
      </c>
      <c r="AG12" s="120">
        <f t="shared" si="17"/>
        <v>1.76476263214761E-05</v>
      </c>
      <c r="AH12" s="104"/>
      <c r="AI12" s="105"/>
      <c r="AJ12" s="125"/>
      <c r="AK12" s="179"/>
      <c r="AL12" s="116"/>
      <c r="AM12" s="114"/>
      <c r="AN12" s="117"/>
      <c r="AO12" s="121"/>
      <c r="AP12" s="124"/>
      <c r="AQ12" s="121"/>
      <c r="AR12" s="127"/>
    </row>
    <row r="13" spans="1:44" ht="15">
      <c r="A13" s="104" t="s">
        <v>139</v>
      </c>
      <c r="B13" s="105" t="s">
        <v>138</v>
      </c>
      <c r="C13" s="105" t="s">
        <v>169</v>
      </c>
      <c r="D13" s="106">
        <v>2</v>
      </c>
      <c r="E13" s="181" t="s">
        <v>48</v>
      </c>
      <c r="F13" s="105">
        <f t="shared" si="19"/>
        <v>430.055</v>
      </c>
      <c r="G13" s="105">
        <f t="shared" si="19"/>
        <v>430.065</v>
      </c>
      <c r="H13" s="182">
        <f t="shared" si="0"/>
        <v>430.06</v>
      </c>
      <c r="I13" s="110">
        <v>45</v>
      </c>
      <c r="J13" s="111">
        <v>46</v>
      </c>
      <c r="K13" s="105">
        <f t="shared" si="1"/>
        <v>45.5</v>
      </c>
      <c r="L13" s="104">
        <v>270</v>
      </c>
      <c r="M13" s="105">
        <v>4</v>
      </c>
      <c r="N13" s="105">
        <v>180</v>
      </c>
      <c r="O13" s="105">
        <v>8</v>
      </c>
      <c r="P13" s="105"/>
      <c r="Q13" s="106"/>
      <c r="R13" s="113">
        <f t="shared" si="2"/>
        <v>-0.1388340822809423</v>
      </c>
      <c r="S13" s="113">
        <f t="shared" si="3"/>
        <v>-0.06907760853681699</v>
      </c>
      <c r="T13" s="113">
        <f t="shared" si="4"/>
        <v>-0.9878558254968149</v>
      </c>
      <c r="U13" s="114">
        <f t="shared" si="5"/>
        <v>206.45287659685854</v>
      </c>
      <c r="V13" s="149">
        <f t="shared" si="6"/>
        <v>-81.07873627708044</v>
      </c>
      <c r="W13" s="116">
        <f t="shared" si="20"/>
        <v>206.45287659685854</v>
      </c>
      <c r="X13" s="114">
        <f t="shared" si="8"/>
        <v>116.45287659685854</v>
      </c>
      <c r="Y13" s="117">
        <f t="shared" si="9"/>
        <v>8.921263722919562</v>
      </c>
      <c r="Z13" s="124">
        <f t="shared" si="10"/>
        <v>153.2679780671998</v>
      </c>
      <c r="AA13" s="119">
        <f t="shared" si="11"/>
        <v>153.2679780671998</v>
      </c>
      <c r="AB13" s="120">
        <f t="shared" si="12"/>
        <v>-0.893120129747482</v>
      </c>
      <c r="AC13" s="120">
        <f t="shared" si="13"/>
        <v>0.4443764937647199</v>
      </c>
      <c r="AD13" s="120">
        <f t="shared" si="14"/>
        <v>0.06975647374412494</v>
      </c>
      <c r="AE13" s="121">
        <f t="shared" si="15"/>
        <v>270</v>
      </c>
      <c r="AF13" s="119">
        <f t="shared" si="16"/>
        <v>3.9999999999999796</v>
      </c>
      <c r="AG13" s="120">
        <f t="shared" si="17"/>
        <v>-1.8977169493681932E-05</v>
      </c>
      <c r="AH13" s="104"/>
      <c r="AI13" s="105"/>
      <c r="AJ13" s="125"/>
      <c r="AK13" s="179"/>
      <c r="AL13" s="116"/>
      <c r="AM13" s="114"/>
      <c r="AN13" s="117"/>
      <c r="AO13" s="121"/>
      <c r="AP13" s="124"/>
      <c r="AQ13" s="121"/>
      <c r="AR13" s="127"/>
    </row>
    <row r="14" spans="1:44" ht="15">
      <c r="A14" s="104" t="s">
        <v>139</v>
      </c>
      <c r="B14" s="105" t="s">
        <v>138</v>
      </c>
      <c r="C14" s="105" t="s">
        <v>169</v>
      </c>
      <c r="D14" s="106">
        <v>2</v>
      </c>
      <c r="E14" s="181" t="s">
        <v>48</v>
      </c>
      <c r="F14" s="105">
        <f t="shared" si="19"/>
        <v>430.20500000000004</v>
      </c>
      <c r="G14" s="105">
        <f t="shared" si="19"/>
        <v>430.20500000000004</v>
      </c>
      <c r="H14" s="182">
        <f t="shared" si="0"/>
        <v>430.20500000000004</v>
      </c>
      <c r="I14" s="110">
        <v>60</v>
      </c>
      <c r="J14" s="111">
        <v>60</v>
      </c>
      <c r="K14" s="105">
        <f t="shared" si="1"/>
        <v>60</v>
      </c>
      <c r="L14" s="104">
        <v>90</v>
      </c>
      <c r="M14" s="105">
        <v>5</v>
      </c>
      <c r="N14" s="105">
        <v>180</v>
      </c>
      <c r="O14" s="105">
        <v>7</v>
      </c>
      <c r="P14" s="105"/>
      <c r="Q14" s="106"/>
      <c r="R14" s="113">
        <f t="shared" si="2"/>
        <v>0.12140559376013013</v>
      </c>
      <c r="S14" s="113">
        <f t="shared" si="3"/>
        <v>-0.08650609705762918</v>
      </c>
      <c r="T14" s="113">
        <f t="shared" si="4"/>
        <v>0.9887692138764507</v>
      </c>
      <c r="U14" s="114">
        <f t="shared" si="5"/>
        <v>324.5286843340475</v>
      </c>
      <c r="V14" s="149">
        <f t="shared" si="6"/>
        <v>81.42632981513503</v>
      </c>
      <c r="W14" s="116">
        <f t="shared" si="20"/>
        <v>144.5286843340475</v>
      </c>
      <c r="X14" s="114">
        <f t="shared" si="8"/>
        <v>54.52868433404751</v>
      </c>
      <c r="Y14" s="117">
        <f t="shared" si="9"/>
        <v>8.573670184864966</v>
      </c>
      <c r="Z14" s="124">
        <f t="shared" si="10"/>
        <v>35.776166450822764</v>
      </c>
      <c r="AA14" s="119">
        <f t="shared" si="11"/>
        <v>35.776166450822764</v>
      </c>
      <c r="AB14" s="120">
        <f t="shared" si="12"/>
        <v>0.811307075940047</v>
      </c>
      <c r="AC14" s="120">
        <f t="shared" si="13"/>
        <v>0.5780871085188761</v>
      </c>
      <c r="AD14" s="120">
        <f t="shared" si="14"/>
        <v>0.08715574274765787</v>
      </c>
      <c r="AE14" s="121">
        <f t="shared" si="15"/>
        <v>89.99999999999997</v>
      </c>
      <c r="AF14" s="119">
        <f t="shared" si="16"/>
        <v>4.999999999999983</v>
      </c>
      <c r="AG14" s="120">
        <f t="shared" si="17"/>
        <v>2.1538791223785586E-05</v>
      </c>
      <c r="AH14" s="104"/>
      <c r="AI14" s="105"/>
      <c r="AJ14" s="125"/>
      <c r="AK14" s="179"/>
      <c r="AL14" s="116"/>
      <c r="AM14" s="114"/>
      <c r="AN14" s="117"/>
      <c r="AO14" s="121"/>
      <c r="AP14" s="124"/>
      <c r="AQ14" s="121"/>
      <c r="AR14" s="127"/>
    </row>
    <row r="15" spans="1:44" ht="15">
      <c r="A15" s="104" t="s">
        <v>139</v>
      </c>
      <c r="B15" s="105" t="s">
        <v>138</v>
      </c>
      <c r="C15" s="105" t="s">
        <v>169</v>
      </c>
      <c r="D15" s="106">
        <v>3</v>
      </c>
      <c r="E15" s="181" t="s">
        <v>48</v>
      </c>
      <c r="F15" s="105">
        <f>430.995+(I15/100)</f>
        <v>431.045</v>
      </c>
      <c r="G15" s="105">
        <f>430.995+(J15/100)</f>
        <v>431.045</v>
      </c>
      <c r="H15" s="182">
        <f t="shared" si="0"/>
        <v>431.045</v>
      </c>
      <c r="I15" s="110">
        <v>5</v>
      </c>
      <c r="J15" s="111">
        <v>5</v>
      </c>
      <c r="K15" s="105">
        <f t="shared" si="1"/>
        <v>5</v>
      </c>
      <c r="L15" s="104">
        <v>270</v>
      </c>
      <c r="M15" s="105">
        <v>1</v>
      </c>
      <c r="N15" s="105">
        <v>0</v>
      </c>
      <c r="O15" s="105">
        <v>4</v>
      </c>
      <c r="P15" s="105"/>
      <c r="Q15" s="106"/>
      <c r="R15" s="113">
        <f t="shared" si="2"/>
        <v>-0.06974584949530101</v>
      </c>
      <c r="S15" s="113">
        <f t="shared" si="3"/>
        <v>0.017409893252357183</v>
      </c>
      <c r="T15" s="113">
        <f t="shared" si="4"/>
        <v>0.9974121164231596</v>
      </c>
      <c r="U15" s="114">
        <f t="shared" si="5"/>
        <v>165.98430083594644</v>
      </c>
      <c r="V15" s="149">
        <f t="shared" si="6"/>
        <v>85.87768053918502</v>
      </c>
      <c r="W15" s="116">
        <f t="shared" si="20"/>
        <v>345.98430083594644</v>
      </c>
      <c r="X15" s="114">
        <f t="shared" si="8"/>
        <v>255.98430083594644</v>
      </c>
      <c r="Y15" s="117">
        <f t="shared" si="9"/>
        <v>4.122319460814978</v>
      </c>
      <c r="Z15" s="124">
        <f t="shared" si="10"/>
        <v>14.050615513163848</v>
      </c>
      <c r="AA15" s="119">
        <f t="shared" si="11"/>
        <v>14.050615513163848</v>
      </c>
      <c r="AB15" s="120">
        <f t="shared" si="12"/>
        <v>0.9700816321078103</v>
      </c>
      <c r="AC15" s="120">
        <f t="shared" si="13"/>
        <v>0.242150863216704</v>
      </c>
      <c r="AD15" s="120">
        <f t="shared" si="14"/>
        <v>0.017452406437283664</v>
      </c>
      <c r="AE15" s="121">
        <f t="shared" si="15"/>
        <v>270</v>
      </c>
      <c r="AF15" s="119">
        <f t="shared" si="16"/>
        <v>1.0000000000000087</v>
      </c>
      <c r="AG15" s="120">
        <f t="shared" si="17"/>
        <v>5.1570053139037215E-06</v>
      </c>
      <c r="AH15" s="104"/>
      <c r="AI15" s="105"/>
      <c r="AJ15" s="125"/>
      <c r="AK15" s="179"/>
      <c r="AL15" s="116"/>
      <c r="AM15" s="114"/>
      <c r="AN15" s="117"/>
      <c r="AO15" s="121"/>
      <c r="AP15" s="124"/>
      <c r="AQ15" s="121"/>
      <c r="AR15" s="127"/>
    </row>
    <row r="16" spans="1:44" ht="15">
      <c r="A16" s="104" t="s">
        <v>139</v>
      </c>
      <c r="B16" s="105" t="s">
        <v>138</v>
      </c>
      <c r="C16" s="105" t="s">
        <v>169</v>
      </c>
      <c r="D16" s="106">
        <v>3</v>
      </c>
      <c r="E16" s="181" t="s">
        <v>48</v>
      </c>
      <c r="F16" s="105">
        <f>430.995+(I16/100)</f>
        <v>431.395</v>
      </c>
      <c r="G16" s="105">
        <f>430.995+(J16/100)</f>
        <v>431.395</v>
      </c>
      <c r="H16" s="182">
        <f t="shared" si="0"/>
        <v>431.395</v>
      </c>
      <c r="I16" s="110">
        <v>40</v>
      </c>
      <c r="J16" s="111">
        <v>40</v>
      </c>
      <c r="K16" s="105">
        <f t="shared" si="1"/>
        <v>40</v>
      </c>
      <c r="L16" s="104">
        <v>270</v>
      </c>
      <c r="M16" s="105">
        <v>5</v>
      </c>
      <c r="N16" s="105">
        <v>180</v>
      </c>
      <c r="O16" s="105">
        <v>4</v>
      </c>
      <c r="P16" s="105"/>
      <c r="Q16" s="106"/>
      <c r="R16" s="113">
        <f t="shared" si="2"/>
        <v>-0.06949102930147369</v>
      </c>
      <c r="S16" s="113">
        <f t="shared" si="3"/>
        <v>-0.08694343573875717</v>
      </c>
      <c r="T16" s="113">
        <f t="shared" si="4"/>
        <v>-0.9937680178757644</v>
      </c>
      <c r="U16" s="114">
        <f t="shared" si="5"/>
        <v>231.36580520133217</v>
      </c>
      <c r="V16" s="149">
        <f t="shared" si="6"/>
        <v>-83.60949830070751</v>
      </c>
      <c r="W16" s="116">
        <f t="shared" si="20"/>
        <v>231.36580520133217</v>
      </c>
      <c r="X16" s="114">
        <f t="shared" si="8"/>
        <v>141.36580520133217</v>
      </c>
      <c r="Y16" s="117">
        <f t="shared" si="9"/>
        <v>6.390501699292486</v>
      </c>
      <c r="Z16" s="124">
        <f t="shared" si="10"/>
        <v>128.4601434255874</v>
      </c>
      <c r="AA16" s="119">
        <f t="shared" si="11"/>
        <v>128.4601434255874</v>
      </c>
      <c r="AB16" s="120">
        <f t="shared" si="12"/>
        <v>-0.6219700815637189</v>
      </c>
      <c r="AC16" s="120">
        <f t="shared" si="13"/>
        <v>0.7781754905840489</v>
      </c>
      <c r="AD16" s="120">
        <f t="shared" si="14"/>
        <v>0.08715574274765726</v>
      </c>
      <c r="AE16" s="121">
        <f t="shared" si="15"/>
        <v>270</v>
      </c>
      <c r="AF16" s="119">
        <f t="shared" si="16"/>
        <v>4.999999999999948</v>
      </c>
      <c r="AG16" s="120">
        <f t="shared" si="17"/>
        <v>-1.6512450962493287E-05</v>
      </c>
      <c r="AH16" s="104"/>
      <c r="AI16" s="105"/>
      <c r="AJ16" s="125"/>
      <c r="AK16" s="179"/>
      <c r="AL16" s="116"/>
      <c r="AM16" s="114"/>
      <c r="AN16" s="117"/>
      <c r="AO16" s="121"/>
      <c r="AP16" s="124"/>
      <c r="AQ16" s="121"/>
      <c r="AR16" s="127"/>
    </row>
    <row r="17" spans="1:44" ht="15">
      <c r="A17" s="104" t="s">
        <v>139</v>
      </c>
      <c r="B17" s="105" t="s">
        <v>138</v>
      </c>
      <c r="C17" s="105" t="s">
        <v>169</v>
      </c>
      <c r="D17" s="106">
        <v>8</v>
      </c>
      <c r="E17" s="181" t="s">
        <v>48</v>
      </c>
      <c r="F17" s="105">
        <f aca="true" t="shared" si="21" ref="F17:G19">434.845+(I17/100)</f>
        <v>435.02500000000003</v>
      </c>
      <c r="G17" s="105">
        <f t="shared" si="21"/>
        <v>435.02500000000003</v>
      </c>
      <c r="H17" s="182">
        <f t="shared" si="0"/>
        <v>435.02500000000003</v>
      </c>
      <c r="I17" s="110">
        <v>18</v>
      </c>
      <c r="J17" s="111">
        <v>18</v>
      </c>
      <c r="K17" s="105">
        <f t="shared" si="1"/>
        <v>18</v>
      </c>
      <c r="L17" s="104">
        <v>90</v>
      </c>
      <c r="M17" s="105">
        <v>3</v>
      </c>
      <c r="N17" s="105">
        <v>0</v>
      </c>
      <c r="O17" s="105">
        <v>1</v>
      </c>
      <c r="P17" s="105"/>
      <c r="Q17" s="106"/>
      <c r="R17" s="113">
        <f t="shared" si="2"/>
        <v>0.017428488520812163</v>
      </c>
      <c r="S17" s="113">
        <f t="shared" si="3"/>
        <v>0.05232798522331313</v>
      </c>
      <c r="T17" s="113">
        <f t="shared" si="4"/>
        <v>-0.9984774386394599</v>
      </c>
      <c r="U17" s="114">
        <f t="shared" si="5"/>
        <v>71.57901920027497</v>
      </c>
      <c r="V17" s="149">
        <f t="shared" si="6"/>
        <v>-86.83829951329474</v>
      </c>
      <c r="W17" s="116">
        <f t="shared" si="20"/>
        <v>71.57901920027497</v>
      </c>
      <c r="X17" s="114">
        <f t="shared" si="8"/>
        <v>341.57901920027496</v>
      </c>
      <c r="Y17" s="117">
        <f t="shared" si="9"/>
        <v>3.161700486705257</v>
      </c>
      <c r="Z17" s="124">
        <f t="shared" si="10"/>
        <v>108.39483009621736</v>
      </c>
      <c r="AA17" s="119">
        <f t="shared" si="11"/>
        <v>108.39483009621736</v>
      </c>
      <c r="AB17" s="120">
        <f t="shared" si="12"/>
        <v>-0.3155634168309185</v>
      </c>
      <c r="AC17" s="120">
        <f t="shared" si="13"/>
        <v>0.9474601192884758</v>
      </c>
      <c r="AD17" s="120">
        <f t="shared" si="14"/>
        <v>0.05233595624294188</v>
      </c>
      <c r="AE17" s="121">
        <f t="shared" si="15"/>
        <v>89.99999999999999</v>
      </c>
      <c r="AF17" s="119">
        <f t="shared" si="16"/>
        <v>2.9999999999998876</v>
      </c>
      <c r="AG17" s="120">
        <f t="shared" si="17"/>
        <v>-5.030825952614003E-06</v>
      </c>
      <c r="AH17" s="104"/>
      <c r="AI17" s="105"/>
      <c r="AJ17" s="125"/>
      <c r="AK17" s="179"/>
      <c r="AL17" s="116"/>
      <c r="AM17" s="114"/>
      <c r="AN17" s="117"/>
      <c r="AO17" s="121"/>
      <c r="AP17" s="124"/>
      <c r="AQ17" s="121"/>
      <c r="AR17" s="127"/>
    </row>
    <row r="18" spans="1:44" ht="15">
      <c r="A18" s="104" t="s">
        <v>139</v>
      </c>
      <c r="B18" s="105" t="s">
        <v>138</v>
      </c>
      <c r="C18" s="105" t="s">
        <v>169</v>
      </c>
      <c r="D18" s="106">
        <v>8</v>
      </c>
      <c r="E18" s="181" t="s">
        <v>48</v>
      </c>
      <c r="F18" s="105">
        <f t="shared" si="21"/>
        <v>435.39500000000004</v>
      </c>
      <c r="G18" s="105">
        <f t="shared" si="21"/>
        <v>435.39500000000004</v>
      </c>
      <c r="H18" s="182">
        <f t="shared" si="0"/>
        <v>435.39500000000004</v>
      </c>
      <c r="I18" s="110">
        <v>55</v>
      </c>
      <c r="J18" s="111">
        <v>55</v>
      </c>
      <c r="K18" s="105">
        <f t="shared" si="1"/>
        <v>55</v>
      </c>
      <c r="L18" s="104">
        <v>90</v>
      </c>
      <c r="M18" s="105">
        <v>2</v>
      </c>
      <c r="N18" s="105">
        <v>180</v>
      </c>
      <c r="O18" s="105">
        <v>6</v>
      </c>
      <c r="P18" s="105"/>
      <c r="Q18" s="106"/>
      <c r="R18" s="113">
        <f t="shared" si="2"/>
        <v>0.10446478735209536</v>
      </c>
      <c r="S18" s="113">
        <f t="shared" si="3"/>
        <v>-0.034708313607970075</v>
      </c>
      <c r="T18" s="113">
        <f t="shared" si="4"/>
        <v>0.9939160595006973</v>
      </c>
      <c r="U18" s="114">
        <f t="shared" si="5"/>
        <v>341.62098802250347</v>
      </c>
      <c r="V18" s="149">
        <f t="shared" si="6"/>
        <v>83.68004299396074</v>
      </c>
      <c r="W18" s="116">
        <f t="shared" si="20"/>
        <v>161.62098802250347</v>
      </c>
      <c r="X18" s="114">
        <f t="shared" si="8"/>
        <v>71.62098802250347</v>
      </c>
      <c r="Y18" s="117">
        <f t="shared" si="9"/>
        <v>6.31995700603926</v>
      </c>
      <c r="Z18" s="124">
        <f t="shared" si="10"/>
        <v>18.483774643263274</v>
      </c>
      <c r="AA18" s="119">
        <f t="shared" si="11"/>
        <v>18.483774643263274</v>
      </c>
      <c r="AB18" s="120">
        <f t="shared" si="12"/>
        <v>0.9484134733838079</v>
      </c>
      <c r="AC18" s="120">
        <f t="shared" si="13"/>
        <v>0.31510935980064636</v>
      </c>
      <c r="AD18" s="120">
        <f t="shared" si="14"/>
        <v>0.034899496702501205</v>
      </c>
      <c r="AE18" s="121">
        <f t="shared" si="15"/>
        <v>90.00000000000003</v>
      </c>
      <c r="AF18" s="119">
        <f t="shared" si="16"/>
        <v>2.0000000000000138</v>
      </c>
      <c r="AG18" s="120">
        <f t="shared" si="17"/>
        <v>1.0082117495090567E-05</v>
      </c>
      <c r="AH18" s="104"/>
      <c r="AI18" s="105"/>
      <c r="AJ18" s="125"/>
      <c r="AK18" s="179"/>
      <c r="AL18" s="116"/>
      <c r="AM18" s="114"/>
      <c r="AN18" s="117"/>
      <c r="AO18" s="121"/>
      <c r="AP18" s="124"/>
      <c r="AQ18" s="121"/>
      <c r="AR18" s="127"/>
    </row>
    <row r="19" spans="1:44" ht="15">
      <c r="A19" s="104" t="s">
        <v>139</v>
      </c>
      <c r="B19" s="105" t="s">
        <v>138</v>
      </c>
      <c r="C19" s="105" t="s">
        <v>169</v>
      </c>
      <c r="D19" s="106">
        <v>8</v>
      </c>
      <c r="E19" s="181" t="s">
        <v>48</v>
      </c>
      <c r="F19" s="105">
        <f t="shared" si="21"/>
        <v>435.44500000000005</v>
      </c>
      <c r="G19" s="105">
        <f t="shared" si="21"/>
        <v>435.45500000000004</v>
      </c>
      <c r="H19" s="182">
        <f t="shared" si="0"/>
        <v>435.45000000000005</v>
      </c>
      <c r="I19" s="110">
        <v>60</v>
      </c>
      <c r="J19" s="111">
        <v>61</v>
      </c>
      <c r="K19" s="105">
        <f t="shared" si="1"/>
        <v>60.5</v>
      </c>
      <c r="L19" s="104">
        <v>270</v>
      </c>
      <c r="M19" s="105">
        <v>8</v>
      </c>
      <c r="N19" s="105">
        <v>0</v>
      </c>
      <c r="O19" s="105">
        <v>8</v>
      </c>
      <c r="P19" s="105"/>
      <c r="Q19" s="106"/>
      <c r="R19" s="113">
        <f t="shared" si="2"/>
        <v>-0.13781867790849958</v>
      </c>
      <c r="S19" s="113">
        <f t="shared" si="3"/>
        <v>0.1378186779084996</v>
      </c>
      <c r="T19" s="113">
        <f t="shared" si="4"/>
        <v>0.9806308479691596</v>
      </c>
      <c r="U19" s="114">
        <f t="shared" si="5"/>
        <v>135</v>
      </c>
      <c r="V19" s="149">
        <f t="shared" si="6"/>
        <v>78.7586871095844</v>
      </c>
      <c r="W19" s="116">
        <f t="shared" si="20"/>
        <v>315</v>
      </c>
      <c r="X19" s="114">
        <f t="shared" si="8"/>
        <v>225</v>
      </c>
      <c r="Y19" s="117">
        <f t="shared" si="9"/>
        <v>11.2413128904156</v>
      </c>
      <c r="Z19" s="124">
        <f t="shared" si="10"/>
        <v>45.55492003342076</v>
      </c>
      <c r="AA19" s="119">
        <f t="shared" si="11"/>
        <v>45.55492003342076</v>
      </c>
      <c r="AB19" s="120">
        <f t="shared" si="12"/>
        <v>0.7002252665996701</v>
      </c>
      <c r="AC19" s="120">
        <f t="shared" si="13"/>
        <v>0.700225266599671</v>
      </c>
      <c r="AD19" s="120">
        <f t="shared" si="14"/>
        <v>0.13917310096006535</v>
      </c>
      <c r="AE19" s="121">
        <f t="shared" si="15"/>
        <v>270.00000000000006</v>
      </c>
      <c r="AF19" s="119">
        <f t="shared" si="16"/>
        <v>7.999999999999995</v>
      </c>
      <c r="AG19" s="120">
        <f t="shared" si="17"/>
        <v>2.968496756334982E-05</v>
      </c>
      <c r="AH19" s="104"/>
      <c r="AI19" s="105"/>
      <c r="AJ19" s="125"/>
      <c r="AK19" s="179"/>
      <c r="AL19" s="116"/>
      <c r="AM19" s="114"/>
      <c r="AN19" s="117"/>
      <c r="AO19" s="121"/>
      <c r="AP19" s="124"/>
      <c r="AQ19" s="121"/>
      <c r="AR19" s="127"/>
    </row>
    <row r="20" spans="1:44" ht="15">
      <c r="A20" s="104" t="s">
        <v>139</v>
      </c>
      <c r="B20" s="105" t="s">
        <v>138</v>
      </c>
      <c r="C20" s="105" t="s">
        <v>168</v>
      </c>
      <c r="D20" s="106">
        <v>1</v>
      </c>
      <c r="E20" s="181" t="s">
        <v>48</v>
      </c>
      <c r="F20" s="105">
        <f>438+(I20/100)</f>
        <v>438.61</v>
      </c>
      <c r="G20" s="105">
        <f>438+(J20/100)</f>
        <v>438.62</v>
      </c>
      <c r="H20" s="182">
        <f t="shared" si="0"/>
        <v>438.615</v>
      </c>
      <c r="I20" s="110">
        <v>61</v>
      </c>
      <c r="J20" s="111">
        <v>62</v>
      </c>
      <c r="K20" s="105">
        <f t="shared" si="1"/>
        <v>61.5</v>
      </c>
      <c r="L20" s="104">
        <v>90</v>
      </c>
      <c r="M20" s="105">
        <v>3</v>
      </c>
      <c r="N20" s="105">
        <v>180</v>
      </c>
      <c r="O20" s="105">
        <v>4</v>
      </c>
      <c r="P20" s="105"/>
      <c r="Q20" s="106"/>
      <c r="R20" s="113">
        <f t="shared" si="2"/>
        <v>0.06966087492121549</v>
      </c>
      <c r="S20" s="113">
        <f t="shared" si="3"/>
        <v>-0.052208468483931986</v>
      </c>
      <c r="T20" s="113">
        <f t="shared" si="4"/>
        <v>0.9961969233988566</v>
      </c>
      <c r="U20" s="114">
        <f t="shared" si="5"/>
        <v>323.14968288059936</v>
      </c>
      <c r="V20" s="149">
        <f t="shared" si="6"/>
        <v>85.00583060689412</v>
      </c>
      <c r="W20" s="116">
        <f t="shared" si="20"/>
        <v>143.14968288059936</v>
      </c>
      <c r="X20" s="114">
        <f t="shared" si="8"/>
        <v>53.14968288059936</v>
      </c>
      <c r="Y20" s="117">
        <f t="shared" si="9"/>
        <v>4.994169393105878</v>
      </c>
      <c r="Z20" s="124">
        <f t="shared" si="10"/>
        <v>36.95496008285757</v>
      </c>
      <c r="AA20" s="119">
        <f t="shared" si="11"/>
        <v>36.95496008285757</v>
      </c>
      <c r="AB20" s="120">
        <f t="shared" si="12"/>
        <v>0.7991083469318547</v>
      </c>
      <c r="AC20" s="120">
        <f t="shared" si="13"/>
        <v>0.5989046648240229</v>
      </c>
      <c r="AD20" s="120">
        <f t="shared" si="14"/>
        <v>0.052335956242943384</v>
      </c>
      <c r="AE20" s="121">
        <f t="shared" si="15"/>
        <v>90</v>
      </c>
      <c r="AF20" s="119">
        <f t="shared" si="16"/>
        <v>2.9999999999999747</v>
      </c>
      <c r="AG20" s="120">
        <f t="shared" si="17"/>
        <v>1.2739325241560361E-05</v>
      </c>
      <c r="AH20" s="104"/>
      <c r="AI20" s="105"/>
      <c r="AJ20" s="125"/>
      <c r="AK20" s="179"/>
      <c r="AL20" s="116"/>
      <c r="AM20" s="114"/>
      <c r="AN20" s="117"/>
      <c r="AO20" s="121"/>
      <c r="AP20" s="124"/>
      <c r="AQ20" s="121"/>
      <c r="AR20" s="127"/>
    </row>
    <row r="21" spans="1:44" ht="15">
      <c r="A21" s="104" t="s">
        <v>139</v>
      </c>
      <c r="B21" s="105" t="s">
        <v>138</v>
      </c>
      <c r="C21" s="105" t="s">
        <v>168</v>
      </c>
      <c r="D21" s="106">
        <v>2</v>
      </c>
      <c r="E21" s="181" t="s">
        <v>48</v>
      </c>
      <c r="F21" s="105">
        <f>439.41+(I21/100)</f>
        <v>439.59000000000003</v>
      </c>
      <c r="G21" s="105">
        <f>439.41+(J21/100)</f>
        <v>439.6</v>
      </c>
      <c r="H21" s="182">
        <f t="shared" si="0"/>
        <v>439.595</v>
      </c>
      <c r="I21" s="110">
        <v>18</v>
      </c>
      <c r="J21" s="111">
        <v>19</v>
      </c>
      <c r="K21" s="105">
        <f t="shared" si="1"/>
        <v>18.5</v>
      </c>
      <c r="L21" s="104">
        <v>270</v>
      </c>
      <c r="M21" s="105">
        <v>3</v>
      </c>
      <c r="N21" s="105">
        <v>0</v>
      </c>
      <c r="O21" s="105">
        <v>5</v>
      </c>
      <c r="P21" s="105"/>
      <c r="Q21" s="106"/>
      <c r="R21" s="113">
        <f t="shared" si="2"/>
        <v>-0.0870362988312832</v>
      </c>
      <c r="S21" s="113">
        <f t="shared" si="3"/>
        <v>0.052136802128782245</v>
      </c>
      <c r="T21" s="113">
        <f t="shared" si="4"/>
        <v>0.994829447880333</v>
      </c>
      <c r="U21" s="114">
        <f t="shared" si="5"/>
        <v>149.07739373007206</v>
      </c>
      <c r="V21" s="149">
        <f t="shared" si="6"/>
        <v>84.17685049823567</v>
      </c>
      <c r="W21" s="116">
        <f t="shared" si="20"/>
        <v>329.07739373007206</v>
      </c>
      <c r="X21" s="114">
        <f t="shared" si="8"/>
        <v>239.07739373007206</v>
      </c>
      <c r="Y21" s="117">
        <f t="shared" si="9"/>
        <v>5.823149501764334</v>
      </c>
      <c r="Z21" s="124">
        <f t="shared" si="10"/>
        <v>31.05344010815051</v>
      </c>
      <c r="AA21" s="119">
        <f t="shared" si="11"/>
        <v>31.05344010815051</v>
      </c>
      <c r="AB21" s="120">
        <f t="shared" si="12"/>
        <v>0.8566865489094372</v>
      </c>
      <c r="AC21" s="120">
        <f t="shared" si="13"/>
        <v>0.5131755105242018</v>
      </c>
      <c r="AD21" s="120">
        <f t="shared" si="14"/>
        <v>0.05233595624294401</v>
      </c>
      <c r="AE21" s="121">
        <f t="shared" si="15"/>
        <v>270.00000000000006</v>
      </c>
      <c r="AF21" s="119">
        <f t="shared" si="16"/>
        <v>3.00000000000001</v>
      </c>
      <c r="AG21" s="120">
        <f t="shared" si="17"/>
        <v>1.3657166507254238E-05</v>
      </c>
      <c r="AH21" s="104"/>
      <c r="AI21" s="105"/>
      <c r="AJ21" s="125"/>
      <c r="AK21" s="179"/>
      <c r="AL21" s="116"/>
      <c r="AM21" s="114"/>
      <c r="AN21" s="117"/>
      <c r="AO21" s="121"/>
      <c r="AP21" s="124"/>
      <c r="AQ21" s="121"/>
      <c r="AR21" s="127"/>
    </row>
    <row r="22" spans="1:44" ht="15">
      <c r="A22" s="104" t="s">
        <v>139</v>
      </c>
      <c r="B22" s="105" t="s">
        <v>138</v>
      </c>
      <c r="C22" s="105" t="s">
        <v>168</v>
      </c>
      <c r="D22" s="106">
        <v>4</v>
      </c>
      <c r="E22" s="181" t="s">
        <v>48</v>
      </c>
      <c r="F22" s="105">
        <f>440.71+(I22/100)</f>
        <v>441.32</v>
      </c>
      <c r="G22" s="105">
        <f>440.71+(J22/100)</f>
        <v>441.33</v>
      </c>
      <c r="H22" s="182">
        <f t="shared" si="0"/>
        <v>441.325</v>
      </c>
      <c r="I22" s="110">
        <v>61</v>
      </c>
      <c r="J22" s="111">
        <v>62</v>
      </c>
      <c r="K22" s="105">
        <f t="shared" si="1"/>
        <v>61.5</v>
      </c>
      <c r="L22" s="104">
        <v>270</v>
      </c>
      <c r="M22" s="105">
        <v>3</v>
      </c>
      <c r="N22" s="105">
        <v>180</v>
      </c>
      <c r="O22" s="105">
        <v>5</v>
      </c>
      <c r="P22" s="105"/>
      <c r="Q22" s="106"/>
      <c r="R22" s="113">
        <f t="shared" si="2"/>
        <v>-0.0870362988312832</v>
      </c>
      <c r="S22" s="113">
        <f t="shared" si="3"/>
        <v>-0.05213680212878222</v>
      </c>
      <c r="T22" s="113">
        <f t="shared" si="4"/>
        <v>-0.994829447880333</v>
      </c>
      <c r="U22" s="114">
        <f t="shared" si="5"/>
        <v>210.9226062699279</v>
      </c>
      <c r="V22" s="149">
        <f t="shared" si="6"/>
        <v>-84.17685049823567</v>
      </c>
      <c r="W22" s="116">
        <f t="shared" si="20"/>
        <v>210.9226062699279</v>
      </c>
      <c r="X22" s="114">
        <f t="shared" si="8"/>
        <v>120.92260626992791</v>
      </c>
      <c r="Y22" s="117">
        <f t="shared" si="9"/>
        <v>5.823149501764334</v>
      </c>
      <c r="Z22" s="124">
        <f t="shared" si="10"/>
        <v>148.94655989184957</v>
      </c>
      <c r="AA22" s="119">
        <f t="shared" si="11"/>
        <v>148.94655989184957</v>
      </c>
      <c r="AB22" s="120">
        <f t="shared" si="12"/>
        <v>-0.8566865489094379</v>
      </c>
      <c r="AC22" s="120">
        <f t="shared" si="13"/>
        <v>0.5131755105242007</v>
      </c>
      <c r="AD22" s="120">
        <f t="shared" si="14"/>
        <v>0.0523359562429439</v>
      </c>
      <c r="AE22" s="121">
        <f t="shared" si="15"/>
        <v>270</v>
      </c>
      <c r="AF22" s="119">
        <f t="shared" si="16"/>
        <v>3.000000000000004</v>
      </c>
      <c r="AG22" s="120">
        <f t="shared" si="17"/>
        <v>-1.3657166507254223E-05</v>
      </c>
      <c r="AH22" s="104"/>
      <c r="AI22" s="105"/>
      <c r="AJ22" s="125"/>
      <c r="AK22" s="179"/>
      <c r="AL22" s="116"/>
      <c r="AM22" s="114"/>
      <c r="AN22" s="117"/>
      <c r="AO22" s="121"/>
      <c r="AP22" s="124"/>
      <c r="AQ22" s="121"/>
      <c r="AR22" s="127"/>
    </row>
    <row r="23" spans="1:44" ht="15">
      <c r="A23" s="104" t="s">
        <v>139</v>
      </c>
      <c r="B23" s="105" t="s">
        <v>138</v>
      </c>
      <c r="C23" s="105" t="s">
        <v>168</v>
      </c>
      <c r="D23" s="106">
        <v>4</v>
      </c>
      <c r="E23" s="181" t="s">
        <v>48</v>
      </c>
      <c r="F23" s="105">
        <f>440.71+(I23/100)</f>
        <v>441.90999999999997</v>
      </c>
      <c r="G23" s="105">
        <f>440.71+(J23/100)</f>
        <v>441.90999999999997</v>
      </c>
      <c r="H23" s="182">
        <f t="shared" si="0"/>
        <v>441.90999999999997</v>
      </c>
      <c r="I23" s="110">
        <v>120</v>
      </c>
      <c r="J23" s="111">
        <v>120</v>
      </c>
      <c r="K23" s="105">
        <f t="shared" si="1"/>
        <v>120</v>
      </c>
      <c r="L23" s="104">
        <v>90</v>
      </c>
      <c r="M23" s="105">
        <v>5</v>
      </c>
      <c r="N23" s="105">
        <v>180</v>
      </c>
      <c r="O23" s="105">
        <v>6</v>
      </c>
      <c r="P23" s="105"/>
      <c r="Q23" s="106"/>
      <c r="R23" s="113">
        <f t="shared" si="2"/>
        <v>0.10413070090691413</v>
      </c>
      <c r="S23" s="113">
        <f t="shared" si="3"/>
        <v>-0.08667829446963064</v>
      </c>
      <c r="T23" s="113">
        <f t="shared" si="4"/>
        <v>0.9907374393020275</v>
      </c>
      <c r="U23" s="114">
        <f t="shared" si="5"/>
        <v>320.22603585620647</v>
      </c>
      <c r="V23" s="149">
        <f t="shared" si="6"/>
        <v>82.21297801271761</v>
      </c>
      <c r="W23" s="116">
        <f t="shared" si="20"/>
        <v>140.22603585620647</v>
      </c>
      <c r="X23" s="114">
        <f t="shared" si="8"/>
        <v>50.226035856206465</v>
      </c>
      <c r="Y23" s="117">
        <f t="shared" si="9"/>
        <v>7.787021987282387</v>
      </c>
      <c r="Z23" s="124">
        <f t="shared" si="10"/>
        <v>40.03517667409755</v>
      </c>
      <c r="AA23" s="119">
        <f t="shared" si="11"/>
        <v>40.03517667409755</v>
      </c>
      <c r="AB23" s="120">
        <f t="shared" si="12"/>
        <v>0.765649660099386</v>
      </c>
      <c r="AC23" s="120">
        <f t="shared" si="13"/>
        <v>0.637326034691663</v>
      </c>
      <c r="AD23" s="120">
        <f t="shared" si="14"/>
        <v>0.08715574274765825</v>
      </c>
      <c r="AE23" s="121">
        <f t="shared" si="15"/>
        <v>90</v>
      </c>
      <c r="AF23" s="119">
        <f t="shared" si="16"/>
        <v>5.0000000000000036</v>
      </c>
      <c r="AG23" s="120">
        <f t="shared" si="17"/>
        <v>2.032674057844145E-05</v>
      </c>
      <c r="AH23" s="104"/>
      <c r="AI23" s="105"/>
      <c r="AJ23" s="125"/>
      <c r="AK23" s="179"/>
      <c r="AL23" s="116"/>
      <c r="AM23" s="114"/>
      <c r="AN23" s="117"/>
      <c r="AO23" s="121"/>
      <c r="AP23" s="124"/>
      <c r="AQ23" s="121"/>
      <c r="AR23" s="127"/>
    </row>
    <row r="24" spans="1:44" ht="15">
      <c r="A24" s="104" t="s">
        <v>139</v>
      </c>
      <c r="B24" s="105" t="s">
        <v>138</v>
      </c>
      <c r="C24" s="105" t="s">
        <v>168</v>
      </c>
      <c r="D24" s="106">
        <v>5</v>
      </c>
      <c r="E24" s="181" t="s">
        <v>48</v>
      </c>
      <c r="F24" s="105">
        <f>442.115+(I24/100)</f>
        <v>442.65500000000003</v>
      </c>
      <c r="G24" s="105">
        <f>442.115+(J24/100)</f>
        <v>442.65500000000003</v>
      </c>
      <c r="H24" s="182">
        <f t="shared" si="0"/>
        <v>442.65500000000003</v>
      </c>
      <c r="I24" s="110">
        <v>54</v>
      </c>
      <c r="J24" s="111">
        <v>54</v>
      </c>
      <c r="K24" s="105">
        <f t="shared" si="1"/>
        <v>54</v>
      </c>
      <c r="L24" s="104">
        <v>270</v>
      </c>
      <c r="M24" s="105">
        <v>3</v>
      </c>
      <c r="N24" s="105">
        <v>180</v>
      </c>
      <c r="O24" s="105">
        <v>1</v>
      </c>
      <c r="P24" s="105"/>
      <c r="Q24" s="106"/>
      <c r="R24" s="113">
        <f t="shared" si="2"/>
        <v>-0.01742848852081217</v>
      </c>
      <c r="S24" s="113">
        <f t="shared" si="3"/>
        <v>-0.05232798522331313</v>
      </c>
      <c r="T24" s="113">
        <f t="shared" si="4"/>
        <v>-0.9984774386394599</v>
      </c>
      <c r="U24" s="114">
        <f t="shared" si="5"/>
        <v>251.57901920027496</v>
      </c>
      <c r="V24" s="149">
        <f t="shared" si="6"/>
        <v>-86.83829951329474</v>
      </c>
      <c r="W24" s="116">
        <f t="shared" si="20"/>
        <v>251.57901920027496</v>
      </c>
      <c r="X24" s="114">
        <f t="shared" si="8"/>
        <v>161.57901920027496</v>
      </c>
      <c r="Y24" s="117">
        <f t="shared" si="9"/>
        <v>3.161700486705257</v>
      </c>
      <c r="Z24" s="124">
        <f t="shared" si="10"/>
        <v>108.39483009621738</v>
      </c>
      <c r="AA24" s="119">
        <f t="shared" si="11"/>
        <v>108.39483009621738</v>
      </c>
      <c r="AB24" s="120">
        <f t="shared" si="12"/>
        <v>-0.3155634168309187</v>
      </c>
      <c r="AC24" s="120">
        <f t="shared" si="13"/>
        <v>0.9474601192884757</v>
      </c>
      <c r="AD24" s="120">
        <f t="shared" si="14"/>
        <v>0.05233595624294187</v>
      </c>
      <c r="AE24" s="121">
        <f t="shared" si="15"/>
        <v>270</v>
      </c>
      <c r="AF24" s="119">
        <f t="shared" si="16"/>
        <v>2.9999999999998876</v>
      </c>
      <c r="AG24" s="120">
        <f t="shared" si="17"/>
        <v>-5.030825952614004E-06</v>
      </c>
      <c r="AH24" s="104"/>
      <c r="AI24" s="105"/>
      <c r="AJ24" s="125"/>
      <c r="AK24" s="179"/>
      <c r="AL24" s="116"/>
      <c r="AM24" s="114"/>
      <c r="AN24" s="117"/>
      <c r="AO24" s="121"/>
      <c r="AP24" s="124"/>
      <c r="AQ24" s="121"/>
      <c r="AR24" s="127"/>
    </row>
    <row r="25" spans="1:44" ht="15">
      <c r="A25" s="104" t="s">
        <v>139</v>
      </c>
      <c r="B25" s="105" t="s">
        <v>138</v>
      </c>
      <c r="C25" s="105" t="s">
        <v>168</v>
      </c>
      <c r="D25" s="106">
        <v>5</v>
      </c>
      <c r="E25" s="181" t="s">
        <v>48</v>
      </c>
      <c r="F25" s="105">
        <f>442.115+(I25/100)</f>
        <v>443.355</v>
      </c>
      <c r="G25" s="105">
        <f>442.115+(J25/100)</f>
        <v>443.355</v>
      </c>
      <c r="H25" s="182">
        <f t="shared" si="0"/>
        <v>443.355</v>
      </c>
      <c r="I25" s="110">
        <v>124</v>
      </c>
      <c r="J25" s="111">
        <v>124</v>
      </c>
      <c r="K25" s="105">
        <f t="shared" si="1"/>
        <v>124</v>
      </c>
      <c r="L25" s="104">
        <v>90</v>
      </c>
      <c r="M25" s="105">
        <v>1</v>
      </c>
      <c r="N25" s="105">
        <v>180</v>
      </c>
      <c r="O25" s="105">
        <v>2</v>
      </c>
      <c r="P25" s="105"/>
      <c r="Q25" s="106"/>
      <c r="R25" s="113">
        <f t="shared" si="2"/>
        <v>0.03489418134011367</v>
      </c>
      <c r="S25" s="113">
        <f t="shared" si="3"/>
        <v>-0.01744177490283016</v>
      </c>
      <c r="T25" s="113">
        <f t="shared" si="4"/>
        <v>0.9992386149554826</v>
      </c>
      <c r="U25" s="114">
        <f t="shared" si="5"/>
        <v>333.4419319834189</v>
      </c>
      <c r="V25" s="149">
        <f t="shared" si="6"/>
        <v>87.76429506217737</v>
      </c>
      <c r="W25" s="116">
        <f t="shared" si="20"/>
        <v>153.4419319834189</v>
      </c>
      <c r="X25" s="114">
        <f t="shared" si="8"/>
        <v>63.4419319834189</v>
      </c>
      <c r="Y25" s="117">
        <f t="shared" si="9"/>
        <v>2.235704937822632</v>
      </c>
      <c r="Z25" s="124">
        <f t="shared" si="10"/>
        <v>26.57552086754168</v>
      </c>
      <c r="AA25" s="119">
        <f t="shared" si="11"/>
        <v>26.57552086754168</v>
      </c>
      <c r="AB25" s="120">
        <f t="shared" si="12"/>
        <v>0.8943454564723705</v>
      </c>
      <c r="AC25" s="120">
        <f t="shared" si="13"/>
        <v>0.4470364839661021</v>
      </c>
      <c r="AD25" s="120">
        <f t="shared" si="14"/>
        <v>0.017452406437284986</v>
      </c>
      <c r="AE25" s="121">
        <f t="shared" si="15"/>
        <v>90</v>
      </c>
      <c r="AF25" s="119">
        <f t="shared" si="16"/>
        <v>1.0000000000000846</v>
      </c>
      <c r="AG25" s="120">
        <f t="shared" si="17"/>
        <v>4.754421879070856E-06</v>
      </c>
      <c r="AH25" s="104"/>
      <c r="AI25" s="105"/>
      <c r="AJ25" s="125"/>
      <c r="AK25" s="179"/>
      <c r="AL25" s="116"/>
      <c r="AM25" s="114"/>
      <c r="AN25" s="117"/>
      <c r="AO25" s="121"/>
      <c r="AP25" s="124"/>
      <c r="AQ25" s="121"/>
      <c r="AR25" s="127"/>
    </row>
    <row r="26" spans="1:44" ht="15">
      <c r="A26" s="104" t="s">
        <v>139</v>
      </c>
      <c r="B26" s="105" t="s">
        <v>138</v>
      </c>
      <c r="C26" s="105" t="s">
        <v>167</v>
      </c>
      <c r="D26" s="106">
        <v>2</v>
      </c>
      <c r="E26" s="181" t="s">
        <v>48</v>
      </c>
      <c r="F26" s="105">
        <f aca="true" t="shared" si="22" ref="F26:G28">448.9+(I26/100)</f>
        <v>449.10999999999996</v>
      </c>
      <c r="G26" s="105">
        <f t="shared" si="22"/>
        <v>449.10999999999996</v>
      </c>
      <c r="H26" s="182">
        <f t="shared" si="0"/>
        <v>449.10999999999996</v>
      </c>
      <c r="I26" s="110">
        <v>21</v>
      </c>
      <c r="J26" s="111">
        <v>21</v>
      </c>
      <c r="K26" s="105">
        <f t="shared" si="1"/>
        <v>21</v>
      </c>
      <c r="L26" s="104">
        <v>90</v>
      </c>
      <c r="M26" s="105">
        <v>3</v>
      </c>
      <c r="N26" s="105">
        <v>180</v>
      </c>
      <c r="O26" s="105">
        <v>8</v>
      </c>
      <c r="P26" s="105"/>
      <c r="Q26" s="106"/>
      <c r="R26" s="113">
        <f t="shared" si="2"/>
        <v>0.13898236906210149</v>
      </c>
      <c r="S26" s="113">
        <f t="shared" si="3"/>
        <v>-0.051826626314443326</v>
      </c>
      <c r="T26" s="113">
        <f t="shared" si="4"/>
        <v>0.9889109407697048</v>
      </c>
      <c r="U26" s="114">
        <f t="shared" si="5"/>
        <v>339.5494780498733</v>
      </c>
      <c r="V26" s="149">
        <f t="shared" si="6"/>
        <v>81.46955163874233</v>
      </c>
      <c r="W26" s="116">
        <f t="shared" si="20"/>
        <v>159.5494780498733</v>
      </c>
      <c r="X26" s="114">
        <f t="shared" si="8"/>
        <v>69.5494780498733</v>
      </c>
      <c r="Y26" s="117">
        <f t="shared" si="9"/>
        <v>8.530448361257669</v>
      </c>
      <c r="Z26" s="124">
        <f t="shared" si="10"/>
        <v>20.660065322988576</v>
      </c>
      <c r="AA26" s="119">
        <f t="shared" si="11"/>
        <v>20.660065322988576</v>
      </c>
      <c r="AB26" s="120">
        <f t="shared" si="12"/>
        <v>0.9356901725886149</v>
      </c>
      <c r="AC26" s="120">
        <f t="shared" si="13"/>
        <v>0.3489195446019394</v>
      </c>
      <c r="AD26" s="120">
        <f t="shared" si="14"/>
        <v>0.052335956242943786</v>
      </c>
      <c r="AE26" s="121">
        <f t="shared" si="15"/>
        <v>90</v>
      </c>
      <c r="AF26" s="119">
        <f t="shared" si="16"/>
        <v>2.999999999999998</v>
      </c>
      <c r="AG26" s="120">
        <f t="shared" si="17"/>
        <v>1.4916523005532606E-05</v>
      </c>
      <c r="AH26" s="104"/>
      <c r="AI26" s="105"/>
      <c r="AJ26" s="125"/>
      <c r="AK26" s="179"/>
      <c r="AL26" s="116"/>
      <c r="AM26" s="114"/>
      <c r="AN26" s="117"/>
      <c r="AO26" s="121"/>
      <c r="AP26" s="124"/>
      <c r="AQ26" s="121"/>
      <c r="AR26" s="127"/>
    </row>
    <row r="27" spans="1:44" ht="15">
      <c r="A27" s="104" t="s">
        <v>139</v>
      </c>
      <c r="B27" s="105" t="s">
        <v>138</v>
      </c>
      <c r="C27" s="105" t="s">
        <v>167</v>
      </c>
      <c r="D27" s="106">
        <v>2</v>
      </c>
      <c r="E27" s="181" t="s">
        <v>48</v>
      </c>
      <c r="F27" s="105">
        <f t="shared" si="22"/>
        <v>449.15</v>
      </c>
      <c r="G27" s="105">
        <f t="shared" si="22"/>
        <v>449.15</v>
      </c>
      <c r="H27" s="182">
        <f t="shared" si="0"/>
        <v>449.15</v>
      </c>
      <c r="I27" s="110">
        <v>25</v>
      </c>
      <c r="J27" s="111">
        <v>25</v>
      </c>
      <c r="K27" s="105">
        <f t="shared" si="1"/>
        <v>25</v>
      </c>
      <c r="L27" s="104">
        <v>270</v>
      </c>
      <c r="M27" s="105">
        <v>5</v>
      </c>
      <c r="N27" s="105">
        <v>180</v>
      </c>
      <c r="O27" s="105">
        <v>4</v>
      </c>
      <c r="P27" s="105"/>
      <c r="Q27" s="106"/>
      <c r="R27" s="113">
        <f t="shared" si="2"/>
        <v>-0.06949102930147369</v>
      </c>
      <c r="S27" s="113">
        <f t="shared" si="3"/>
        <v>-0.08694343573875717</v>
      </c>
      <c r="T27" s="113">
        <f t="shared" si="4"/>
        <v>-0.9937680178757644</v>
      </c>
      <c r="U27" s="114">
        <f t="shared" si="5"/>
        <v>231.36580520133217</v>
      </c>
      <c r="V27" s="149">
        <f t="shared" si="6"/>
        <v>-83.60949830070751</v>
      </c>
      <c r="W27" s="116">
        <f t="shared" si="20"/>
        <v>231.36580520133217</v>
      </c>
      <c r="X27" s="114">
        <f t="shared" si="8"/>
        <v>141.36580520133217</v>
      </c>
      <c r="Y27" s="117">
        <f t="shared" si="9"/>
        <v>6.390501699292486</v>
      </c>
      <c r="Z27" s="124">
        <f t="shared" si="10"/>
        <v>128.4601434255874</v>
      </c>
      <c r="AA27" s="119">
        <f t="shared" si="11"/>
        <v>128.4601434255874</v>
      </c>
      <c r="AB27" s="120">
        <f t="shared" si="12"/>
        <v>-0.6219700815637189</v>
      </c>
      <c r="AC27" s="120">
        <f t="shared" si="13"/>
        <v>0.7781754905840489</v>
      </c>
      <c r="AD27" s="120">
        <f t="shared" si="14"/>
        <v>0.08715574274765726</v>
      </c>
      <c r="AE27" s="121">
        <f t="shared" si="15"/>
        <v>270</v>
      </c>
      <c r="AF27" s="119">
        <f t="shared" si="16"/>
        <v>4.999999999999948</v>
      </c>
      <c r="AG27" s="120">
        <f t="shared" si="17"/>
        <v>-1.6512450962493287E-05</v>
      </c>
      <c r="AH27" s="104"/>
      <c r="AI27" s="105"/>
      <c r="AJ27" s="125"/>
      <c r="AK27" s="179"/>
      <c r="AL27" s="116"/>
      <c r="AM27" s="114"/>
      <c r="AN27" s="117"/>
      <c r="AO27" s="121"/>
      <c r="AP27" s="124"/>
      <c r="AQ27" s="121"/>
      <c r="AR27" s="127"/>
    </row>
    <row r="28" spans="1:44" ht="15">
      <c r="A28" s="104" t="s">
        <v>139</v>
      </c>
      <c r="B28" s="105" t="s">
        <v>138</v>
      </c>
      <c r="C28" s="105" t="s">
        <v>167</v>
      </c>
      <c r="D28" s="106">
        <v>2</v>
      </c>
      <c r="E28" s="181" t="s">
        <v>48</v>
      </c>
      <c r="F28" s="105">
        <f t="shared" si="22"/>
        <v>450.31</v>
      </c>
      <c r="G28" s="105">
        <f t="shared" si="22"/>
        <v>450.32</v>
      </c>
      <c r="H28" s="182">
        <f t="shared" si="0"/>
        <v>450.315</v>
      </c>
      <c r="I28" s="110">
        <v>141</v>
      </c>
      <c r="J28" s="111">
        <v>142</v>
      </c>
      <c r="K28" s="105">
        <f t="shared" si="1"/>
        <v>141.5</v>
      </c>
      <c r="L28" s="104">
        <v>270</v>
      </c>
      <c r="M28" s="105">
        <v>6</v>
      </c>
      <c r="N28" s="105">
        <v>180</v>
      </c>
      <c r="O28" s="105">
        <v>7</v>
      </c>
      <c r="P28" s="105"/>
      <c r="Q28" s="106"/>
      <c r="R28" s="113">
        <f t="shared" si="2"/>
        <v>-0.12120173039057426</v>
      </c>
      <c r="S28" s="113">
        <f t="shared" si="3"/>
        <v>-0.1037493239532907</v>
      </c>
      <c r="T28" s="113">
        <f t="shared" si="4"/>
        <v>-0.9871088799708131</v>
      </c>
      <c r="U28" s="114">
        <f t="shared" si="5"/>
        <v>220.5637008680293</v>
      </c>
      <c r="V28" s="149">
        <f t="shared" si="6"/>
        <v>-80.81891132138495</v>
      </c>
      <c r="W28" s="116">
        <f t="shared" si="20"/>
        <v>220.5637008680293</v>
      </c>
      <c r="X28" s="114">
        <f t="shared" si="8"/>
        <v>130.5637008680293</v>
      </c>
      <c r="Y28" s="117">
        <f t="shared" si="9"/>
        <v>9.181088678615055</v>
      </c>
      <c r="Z28" s="124">
        <f t="shared" si="10"/>
        <v>139.07098621282898</v>
      </c>
      <c r="AA28" s="119">
        <f t="shared" si="11"/>
        <v>139.07098621282898</v>
      </c>
      <c r="AB28" s="120">
        <f t="shared" si="12"/>
        <v>-0.7555218206144985</v>
      </c>
      <c r="AC28" s="120">
        <f t="shared" si="13"/>
        <v>0.6467306850167669</v>
      </c>
      <c r="AD28" s="120">
        <f t="shared" si="14"/>
        <v>0.10452846326765276</v>
      </c>
      <c r="AE28" s="121">
        <f t="shared" si="15"/>
        <v>270</v>
      </c>
      <c r="AF28" s="119">
        <f t="shared" si="16"/>
        <v>5.999999999999959</v>
      </c>
      <c r="AG28" s="120">
        <f t="shared" si="17"/>
        <v>-2.405600392432046E-05</v>
      </c>
      <c r="AH28" s="104"/>
      <c r="AI28" s="105"/>
      <c r="AJ28" s="125"/>
      <c r="AK28" s="179"/>
      <c r="AL28" s="116"/>
      <c r="AM28" s="114"/>
      <c r="AN28" s="117"/>
      <c r="AO28" s="121"/>
      <c r="AP28" s="124"/>
      <c r="AQ28" s="121"/>
      <c r="AR28" s="127"/>
    </row>
    <row r="29" spans="1:44" ht="15">
      <c r="A29" s="104" t="s">
        <v>139</v>
      </c>
      <c r="B29" s="105" t="s">
        <v>138</v>
      </c>
      <c r="C29" s="105" t="s">
        <v>167</v>
      </c>
      <c r="D29" s="106">
        <v>4</v>
      </c>
      <c r="E29" s="181" t="s">
        <v>48</v>
      </c>
      <c r="F29" s="105">
        <f>450.56+(I29/100)</f>
        <v>450.63</v>
      </c>
      <c r="G29" s="105">
        <f>450.56+(J29/100)</f>
        <v>450.63</v>
      </c>
      <c r="H29" s="182">
        <f t="shared" si="0"/>
        <v>450.63</v>
      </c>
      <c r="I29" s="110">
        <v>7</v>
      </c>
      <c r="J29" s="111">
        <v>7</v>
      </c>
      <c r="K29" s="105">
        <f t="shared" si="1"/>
        <v>7</v>
      </c>
      <c r="L29" s="104">
        <v>90</v>
      </c>
      <c r="M29" s="105">
        <v>2</v>
      </c>
      <c r="N29" s="105">
        <v>0</v>
      </c>
      <c r="O29" s="105">
        <v>4</v>
      </c>
      <c r="P29" s="105"/>
      <c r="Q29" s="106"/>
      <c r="R29" s="113">
        <f t="shared" si="2"/>
        <v>0.06971397998507722</v>
      </c>
      <c r="S29" s="113">
        <f t="shared" si="3"/>
        <v>0.03481448328257624</v>
      </c>
      <c r="T29" s="113">
        <f t="shared" si="4"/>
        <v>-0.9969563611936845</v>
      </c>
      <c r="U29" s="114">
        <f t="shared" si="5"/>
        <v>26.537096393580775</v>
      </c>
      <c r="V29" s="149">
        <f t="shared" si="6"/>
        <v>-85.53076266752878</v>
      </c>
      <c r="W29" s="116">
        <f t="shared" si="20"/>
        <v>26.537096393580775</v>
      </c>
      <c r="X29" s="114">
        <f t="shared" si="8"/>
        <v>296.5370963935808</v>
      </c>
      <c r="Y29" s="117">
        <f t="shared" si="9"/>
        <v>4.469237332471224</v>
      </c>
      <c r="Z29" s="124">
        <f t="shared" si="10"/>
        <v>153.39309742990062</v>
      </c>
      <c r="AA29" s="119">
        <f t="shared" si="11"/>
        <v>153.39309742990062</v>
      </c>
      <c r="AB29" s="120">
        <f t="shared" si="12"/>
        <v>-0.8941002876604526</v>
      </c>
      <c r="AC29" s="120">
        <f t="shared" si="13"/>
        <v>0.4465049839983963</v>
      </c>
      <c r="AD29" s="120">
        <f t="shared" si="14"/>
        <v>0.034899496702501</v>
      </c>
      <c r="AE29" s="121">
        <f t="shared" si="15"/>
        <v>90</v>
      </c>
      <c r="AF29" s="119">
        <f t="shared" si="16"/>
        <v>2.0000000000000018</v>
      </c>
      <c r="AG29" s="120">
        <f t="shared" si="17"/>
        <v>-9.504789003564702E-06</v>
      </c>
      <c r="AH29" s="104"/>
      <c r="AI29" s="105"/>
      <c r="AJ29" s="125"/>
      <c r="AK29" s="179"/>
      <c r="AL29" s="116"/>
      <c r="AM29" s="114"/>
      <c r="AN29" s="117"/>
      <c r="AO29" s="121"/>
      <c r="AP29" s="124"/>
      <c r="AQ29" s="121"/>
      <c r="AR29" s="127"/>
    </row>
    <row r="30" spans="1:44" ht="15">
      <c r="A30" s="104" t="s">
        <v>139</v>
      </c>
      <c r="B30" s="105" t="s">
        <v>138</v>
      </c>
      <c r="C30" s="105" t="s">
        <v>167</v>
      </c>
      <c r="D30" s="106">
        <v>5</v>
      </c>
      <c r="E30" s="181" t="s">
        <v>48</v>
      </c>
      <c r="F30" s="105">
        <f>451.96+(I30/100)</f>
        <v>452.63</v>
      </c>
      <c r="G30" s="105">
        <f>451.96+(J30/100)</f>
        <v>452.63</v>
      </c>
      <c r="H30" s="182">
        <f t="shared" si="0"/>
        <v>452.63</v>
      </c>
      <c r="I30" s="110">
        <v>67</v>
      </c>
      <c r="J30" s="111">
        <v>67</v>
      </c>
      <c r="K30" s="105">
        <f t="shared" si="1"/>
        <v>67</v>
      </c>
      <c r="L30" s="104">
        <v>270</v>
      </c>
      <c r="M30" s="105">
        <v>3</v>
      </c>
      <c r="N30" s="105">
        <v>180</v>
      </c>
      <c r="O30" s="105">
        <v>9</v>
      </c>
      <c r="P30" s="105"/>
      <c r="Q30" s="106"/>
      <c r="R30" s="113">
        <f t="shared" si="2"/>
        <v>-0.1562200770427064</v>
      </c>
      <c r="S30" s="113">
        <f t="shared" si="3"/>
        <v>-0.0516916137750529</v>
      </c>
      <c r="T30" s="113">
        <f t="shared" si="4"/>
        <v>-0.9863347480510395</v>
      </c>
      <c r="U30" s="114">
        <f t="shared" si="5"/>
        <v>198.30884747849828</v>
      </c>
      <c r="V30" s="149">
        <f t="shared" si="6"/>
        <v>-80.52857977265462</v>
      </c>
      <c r="W30" s="116">
        <f t="shared" si="20"/>
        <v>198.30884747849828</v>
      </c>
      <c r="X30" s="114">
        <f t="shared" si="8"/>
        <v>108.30884747849828</v>
      </c>
      <c r="Y30" s="117">
        <f t="shared" si="9"/>
        <v>9.471420227345376</v>
      </c>
      <c r="Z30" s="124">
        <f t="shared" si="10"/>
        <v>161.45531344913763</v>
      </c>
      <c r="AA30" s="119">
        <f t="shared" si="11"/>
        <v>161.45531344913763</v>
      </c>
      <c r="AB30" s="120">
        <f t="shared" si="12"/>
        <v>-0.9480758921953037</v>
      </c>
      <c r="AC30" s="120">
        <f t="shared" si="13"/>
        <v>0.3137085435913653</v>
      </c>
      <c r="AD30" s="120">
        <f t="shared" si="14"/>
        <v>0.0523359562429438</v>
      </c>
      <c r="AE30" s="121">
        <f t="shared" si="15"/>
        <v>270</v>
      </c>
      <c r="AF30" s="119">
        <f t="shared" si="16"/>
        <v>2.9999999999999987</v>
      </c>
      <c r="AG30" s="120">
        <f t="shared" si="17"/>
        <v>-1.5113954938385583E-05</v>
      </c>
      <c r="AH30" s="104"/>
      <c r="AI30" s="105"/>
      <c r="AJ30" s="125"/>
      <c r="AK30" s="179"/>
      <c r="AL30" s="116"/>
      <c r="AM30" s="114"/>
      <c r="AN30" s="117"/>
      <c r="AO30" s="121"/>
      <c r="AP30" s="124"/>
      <c r="AQ30" s="121"/>
      <c r="AR30" s="127"/>
    </row>
    <row r="31" spans="1:44" ht="15">
      <c r="A31" s="104" t="s">
        <v>139</v>
      </c>
      <c r="B31" s="105" t="s">
        <v>138</v>
      </c>
      <c r="C31" s="105" t="s">
        <v>167</v>
      </c>
      <c r="D31" s="106">
        <v>5</v>
      </c>
      <c r="E31" s="181" t="s">
        <v>48</v>
      </c>
      <c r="F31" s="105">
        <f>451.96+(I31/100)</f>
        <v>452.66999999999996</v>
      </c>
      <c r="G31" s="105">
        <f>451.96+(J31/100)</f>
        <v>452.68</v>
      </c>
      <c r="H31" s="182">
        <f t="shared" si="0"/>
        <v>452.67499999999995</v>
      </c>
      <c r="I31" s="110">
        <v>71</v>
      </c>
      <c r="J31" s="111">
        <v>72</v>
      </c>
      <c r="K31" s="105">
        <f t="shared" si="1"/>
        <v>71.5</v>
      </c>
      <c r="L31" s="104">
        <v>270</v>
      </c>
      <c r="M31" s="105">
        <v>6</v>
      </c>
      <c r="N31" s="105">
        <v>0</v>
      </c>
      <c r="O31" s="105">
        <v>4</v>
      </c>
      <c r="P31" s="105"/>
      <c r="Q31" s="106"/>
      <c r="R31" s="113">
        <f t="shared" si="2"/>
        <v>-0.06937434048221469</v>
      </c>
      <c r="S31" s="113">
        <f t="shared" si="3"/>
        <v>0.10427383718471565</v>
      </c>
      <c r="T31" s="113">
        <f t="shared" si="4"/>
        <v>0.9920992900156518</v>
      </c>
      <c r="U31" s="114">
        <f t="shared" si="5"/>
        <v>123.63618705852534</v>
      </c>
      <c r="V31" s="149">
        <f t="shared" si="6"/>
        <v>82.80501343661278</v>
      </c>
      <c r="W31" s="116">
        <f t="shared" si="20"/>
        <v>303.63618705852537</v>
      </c>
      <c r="X31" s="114">
        <f t="shared" si="8"/>
        <v>213.63618705852537</v>
      </c>
      <c r="Y31" s="117">
        <f t="shared" si="9"/>
        <v>7.194986563387218</v>
      </c>
      <c r="Z31" s="124">
        <f t="shared" si="10"/>
        <v>56.57238294067116</v>
      </c>
      <c r="AA31" s="119">
        <f t="shared" si="11"/>
        <v>56.57238294067116</v>
      </c>
      <c r="AB31" s="120">
        <f t="shared" si="12"/>
        <v>0.5508830799844985</v>
      </c>
      <c r="AC31" s="120">
        <f t="shared" si="13"/>
        <v>0.8280106476088913</v>
      </c>
      <c r="AD31" s="120">
        <f t="shared" si="14"/>
        <v>0.10452846326765315</v>
      </c>
      <c r="AE31" s="121">
        <f t="shared" si="15"/>
        <v>270.00000000000006</v>
      </c>
      <c r="AF31" s="119">
        <f t="shared" si="16"/>
        <v>5.999999999999982</v>
      </c>
      <c r="AG31" s="120">
        <f t="shared" si="17"/>
        <v>1.75404932622901E-05</v>
      </c>
      <c r="AH31" s="104"/>
      <c r="AI31" s="105"/>
      <c r="AJ31" s="125"/>
      <c r="AK31" s="179"/>
      <c r="AL31" s="116"/>
      <c r="AM31" s="114"/>
      <c r="AN31" s="117"/>
      <c r="AO31" s="121"/>
      <c r="AP31" s="124"/>
      <c r="AQ31" s="121"/>
      <c r="AR31" s="127"/>
    </row>
    <row r="32" spans="1:44" ht="15">
      <c r="A32" s="104" t="s">
        <v>139</v>
      </c>
      <c r="B32" s="105" t="s">
        <v>138</v>
      </c>
      <c r="C32" s="105" t="s">
        <v>167</v>
      </c>
      <c r="D32" s="106">
        <v>7</v>
      </c>
      <c r="E32" s="181" t="s">
        <v>48</v>
      </c>
      <c r="F32" s="105">
        <f>454.76+(I32/100)</f>
        <v>456.02</v>
      </c>
      <c r="G32" s="105">
        <f>454.76+(J32/100)</f>
        <v>456.02</v>
      </c>
      <c r="H32" s="182">
        <f t="shared" si="0"/>
        <v>456.02</v>
      </c>
      <c r="I32" s="110">
        <v>126</v>
      </c>
      <c r="J32" s="111">
        <v>126</v>
      </c>
      <c r="K32" s="105">
        <f t="shared" si="1"/>
        <v>126</v>
      </c>
      <c r="L32" s="104">
        <v>90</v>
      </c>
      <c r="M32" s="105">
        <v>6</v>
      </c>
      <c r="N32" s="105">
        <v>0</v>
      </c>
      <c r="O32" s="105">
        <v>5</v>
      </c>
      <c r="P32" s="105"/>
      <c r="Q32" s="106"/>
      <c r="R32" s="113">
        <f t="shared" si="2"/>
        <v>0.08667829446963064</v>
      </c>
      <c r="S32" s="113">
        <f t="shared" si="3"/>
        <v>0.10413070090691415</v>
      </c>
      <c r="T32" s="113">
        <f t="shared" si="4"/>
        <v>-0.9907374393020275</v>
      </c>
      <c r="U32" s="114">
        <f t="shared" si="5"/>
        <v>50.22603585620645</v>
      </c>
      <c r="V32" s="149">
        <f t="shared" si="6"/>
        <v>-82.21297801271761</v>
      </c>
      <c r="W32" s="116">
        <f t="shared" si="20"/>
        <v>50.22603585620645</v>
      </c>
      <c r="X32" s="114">
        <f t="shared" si="8"/>
        <v>320.22603585620647</v>
      </c>
      <c r="Y32" s="117">
        <f t="shared" si="9"/>
        <v>7.787021987282387</v>
      </c>
      <c r="Z32" s="124">
        <f t="shared" si="10"/>
        <v>129.5131902426578</v>
      </c>
      <c r="AA32" s="119">
        <f t="shared" si="11"/>
        <v>129.5131902426578</v>
      </c>
      <c r="AB32" s="120">
        <f t="shared" si="12"/>
        <v>-0.6362558415571142</v>
      </c>
      <c r="AC32" s="120">
        <f t="shared" si="13"/>
        <v>0.7643639868880213</v>
      </c>
      <c r="AD32" s="120">
        <f t="shared" si="14"/>
        <v>0.10452846326765357</v>
      </c>
      <c r="AE32" s="121">
        <f t="shared" si="15"/>
        <v>90.00000000000003</v>
      </c>
      <c r="AF32" s="119">
        <f t="shared" si="16"/>
        <v>6.000000000000005</v>
      </c>
      <c r="AG32" s="120">
        <f t="shared" si="17"/>
        <v>-2.0258716018975866E-05</v>
      </c>
      <c r="AH32" s="104"/>
      <c r="AI32" s="105"/>
      <c r="AJ32" s="125"/>
      <c r="AK32" s="179"/>
      <c r="AL32" s="116"/>
      <c r="AM32" s="114"/>
      <c r="AN32" s="117"/>
      <c r="AO32" s="121"/>
      <c r="AP32" s="124"/>
      <c r="AQ32" s="121"/>
      <c r="AR32" s="127"/>
    </row>
    <row r="33" spans="1:44" ht="15">
      <c r="A33" s="104" t="s">
        <v>139</v>
      </c>
      <c r="B33" s="105" t="s">
        <v>138</v>
      </c>
      <c r="C33" s="105" t="s">
        <v>167</v>
      </c>
      <c r="D33" s="106">
        <v>8</v>
      </c>
      <c r="E33" s="181" t="s">
        <v>48</v>
      </c>
      <c r="F33" s="105">
        <f>456.165+(I33/100)</f>
        <v>456.425</v>
      </c>
      <c r="G33" s="105">
        <f>456.165+(J33/100)</f>
        <v>456.425</v>
      </c>
      <c r="H33" s="182">
        <f t="shared" si="0"/>
        <v>456.425</v>
      </c>
      <c r="I33" s="110">
        <v>26</v>
      </c>
      <c r="J33" s="111">
        <v>26</v>
      </c>
      <c r="K33" s="105">
        <f t="shared" si="1"/>
        <v>26</v>
      </c>
      <c r="L33" s="104">
        <v>270</v>
      </c>
      <c r="M33" s="105">
        <v>3</v>
      </c>
      <c r="N33" s="105">
        <v>0</v>
      </c>
      <c r="O33" s="105">
        <v>5</v>
      </c>
      <c r="P33" s="105"/>
      <c r="Q33" s="106"/>
      <c r="R33" s="113">
        <f t="shared" si="2"/>
        <v>-0.0870362988312832</v>
      </c>
      <c r="S33" s="113">
        <f t="shared" si="3"/>
        <v>0.052136802128782245</v>
      </c>
      <c r="T33" s="113">
        <f t="shared" si="4"/>
        <v>0.994829447880333</v>
      </c>
      <c r="U33" s="114">
        <f t="shared" si="5"/>
        <v>149.07739373007206</v>
      </c>
      <c r="V33" s="149">
        <f t="shared" si="6"/>
        <v>84.17685049823567</v>
      </c>
      <c r="W33" s="116">
        <f t="shared" si="20"/>
        <v>329.07739373007206</v>
      </c>
      <c r="X33" s="114">
        <f t="shared" si="8"/>
        <v>239.07739373007206</v>
      </c>
      <c r="Y33" s="117">
        <f t="shared" si="9"/>
        <v>5.823149501764334</v>
      </c>
      <c r="Z33" s="124">
        <f t="shared" si="10"/>
        <v>31.05344010815051</v>
      </c>
      <c r="AA33" s="119">
        <f t="shared" si="11"/>
        <v>31.05344010815051</v>
      </c>
      <c r="AB33" s="120">
        <f t="shared" si="12"/>
        <v>0.8566865489094372</v>
      </c>
      <c r="AC33" s="120">
        <f t="shared" si="13"/>
        <v>0.5131755105242018</v>
      </c>
      <c r="AD33" s="120">
        <f t="shared" si="14"/>
        <v>0.05233595624294401</v>
      </c>
      <c r="AE33" s="121">
        <f t="shared" si="15"/>
        <v>270.00000000000006</v>
      </c>
      <c r="AF33" s="119">
        <f t="shared" si="16"/>
        <v>3.00000000000001</v>
      </c>
      <c r="AG33" s="120">
        <f t="shared" si="17"/>
        <v>1.3657166507254238E-05</v>
      </c>
      <c r="AH33" s="104"/>
      <c r="AI33" s="105"/>
      <c r="AJ33" s="125"/>
      <c r="AK33" s="179"/>
      <c r="AL33" s="116"/>
      <c r="AM33" s="114"/>
      <c r="AN33" s="117"/>
      <c r="AO33" s="121"/>
      <c r="AP33" s="124"/>
      <c r="AQ33" s="121"/>
      <c r="AR33" s="127"/>
    </row>
    <row r="34" spans="1:45" ht="15">
      <c r="A34" s="104" t="s">
        <v>139</v>
      </c>
      <c r="B34" s="105" t="s">
        <v>138</v>
      </c>
      <c r="C34" s="105" t="s">
        <v>164</v>
      </c>
      <c r="D34" s="106">
        <v>3</v>
      </c>
      <c r="E34" s="181" t="s">
        <v>48</v>
      </c>
      <c r="F34" s="105">
        <f>469.3+(I34/100)</f>
        <v>469.75</v>
      </c>
      <c r="G34" s="105">
        <f>469.3+(J34/100)</f>
        <v>469.75</v>
      </c>
      <c r="H34" s="182">
        <f t="shared" si="0"/>
        <v>469.75</v>
      </c>
      <c r="I34" s="110">
        <v>45</v>
      </c>
      <c r="J34" s="111">
        <v>45</v>
      </c>
      <c r="K34" s="105">
        <f t="shared" si="1"/>
        <v>45</v>
      </c>
      <c r="L34" s="104">
        <v>90</v>
      </c>
      <c r="M34" s="105">
        <v>6</v>
      </c>
      <c r="N34" s="105">
        <v>180</v>
      </c>
      <c r="O34" s="105">
        <v>8</v>
      </c>
      <c r="P34" s="105"/>
      <c r="Q34" s="106"/>
      <c r="R34" s="113">
        <f t="shared" si="2"/>
        <v>0.13841069615108434</v>
      </c>
      <c r="S34" s="113">
        <f t="shared" si="3"/>
        <v>-0.10351119944858338</v>
      </c>
      <c r="T34" s="113">
        <f t="shared" si="4"/>
        <v>0.9848432766475461</v>
      </c>
      <c r="U34" s="114">
        <f t="shared" si="5"/>
        <v>323.2088208916574</v>
      </c>
      <c r="V34" s="149">
        <f t="shared" si="6"/>
        <v>80.04621733697256</v>
      </c>
      <c r="W34" s="116">
        <f t="shared" si="20"/>
        <v>143.2088208916574</v>
      </c>
      <c r="X34" s="114">
        <f t="shared" si="8"/>
        <v>53.20882089165741</v>
      </c>
      <c r="Y34" s="117">
        <f t="shared" si="9"/>
        <v>9.95378266302744</v>
      </c>
      <c r="Z34" s="124">
        <f t="shared" si="10"/>
        <v>37.20884367405075</v>
      </c>
      <c r="AA34" s="119">
        <f t="shared" si="11"/>
        <v>37.20884367405075</v>
      </c>
      <c r="AB34" s="120">
        <f t="shared" si="12"/>
        <v>0.7964365879190503</v>
      </c>
      <c r="AC34" s="120">
        <f t="shared" si="13"/>
        <v>0.5956194773433486</v>
      </c>
      <c r="AD34" s="120">
        <f t="shared" si="14"/>
        <v>0.10452846326765337</v>
      </c>
      <c r="AE34" s="121">
        <f t="shared" si="15"/>
        <v>90</v>
      </c>
      <c r="AF34" s="119">
        <f t="shared" si="16"/>
        <v>5.999999999999996</v>
      </c>
      <c r="AG34" s="120">
        <f t="shared" si="17"/>
        <v>2.5358658607369305E-05</v>
      </c>
      <c r="AH34" s="104"/>
      <c r="AI34" s="105"/>
      <c r="AJ34" s="125"/>
      <c r="AK34" s="179"/>
      <c r="AL34" s="116"/>
      <c r="AM34" s="114"/>
      <c r="AN34" s="117"/>
      <c r="AO34" s="121"/>
      <c r="AP34" s="124"/>
      <c r="AQ34" s="121"/>
      <c r="AR34" s="127"/>
      <c r="AS34" s="91" t="s">
        <v>166</v>
      </c>
    </row>
    <row r="35" spans="1:44" ht="15">
      <c r="A35" s="104" t="s">
        <v>139</v>
      </c>
      <c r="B35" s="105" t="s">
        <v>138</v>
      </c>
      <c r="C35" s="105" t="s">
        <v>164</v>
      </c>
      <c r="D35" s="106">
        <v>6</v>
      </c>
      <c r="E35" s="181" t="s">
        <v>48</v>
      </c>
      <c r="F35" s="105">
        <f>470.985+(I35/100)</f>
        <v>471.27500000000003</v>
      </c>
      <c r="G35" s="105">
        <f>470.985+(J35/100)</f>
        <v>471.295</v>
      </c>
      <c r="H35" s="182">
        <f aca="true" t="shared" si="23" ref="H35:H66">(F35+G35)/2</f>
        <v>471.285</v>
      </c>
      <c r="I35" s="110">
        <v>29</v>
      </c>
      <c r="J35" s="111">
        <v>31</v>
      </c>
      <c r="K35" s="105">
        <f aca="true" t="shared" si="24" ref="K35:K66">(+I35+J35)/2</f>
        <v>30</v>
      </c>
      <c r="L35" s="104">
        <v>90</v>
      </c>
      <c r="M35" s="105">
        <v>13</v>
      </c>
      <c r="N35" s="105">
        <v>180</v>
      </c>
      <c r="O35" s="105">
        <v>18</v>
      </c>
      <c r="P35" s="105"/>
      <c r="Q35" s="106"/>
      <c r="R35" s="113">
        <f aca="true" t="shared" si="25" ref="R35:R66">COS(M35*PI()/180)*SIN(L35*PI()/180)*(SIN(O35*PI()/180))-(COS(O35*PI()/180)*SIN(N35*PI()/180))*(SIN(M35*PI()/180))</f>
        <v>0.30109690882885615</v>
      </c>
      <c r="S35" s="113">
        <f aca="true" t="shared" si="26" ref="S35:S66">(SIN(M35*PI()/180))*(COS(O35*PI()/180)*COS(N35*PI()/180))-(SIN(O35*PI()/180))*(COS(M35*PI()/180)*COS(L35*PI()/180))</f>
        <v>-0.21394116608119804</v>
      </c>
      <c r="T35" s="113">
        <f aca="true" t="shared" si="27" ref="T35:T66">(COS(M35*PI()/180)*COS(L35*PI()/180))*(COS(O35*PI()/180)*SIN(N35*PI()/180))-(COS(M35*PI()/180)*SIN(L35*PI()/180))*(COS(O35*PI()/180)*COS(N35*PI()/180))</f>
        <v>0.9266809993969289</v>
      </c>
      <c r="U35" s="114">
        <f aca="true" t="shared" si="28" ref="U35:U66">IF(R35=0,IF(S35&gt;=0,90,270),IF(R35&gt;0,IF(S35&gt;=0,ATAN(S35/R35)*180/PI(),ATAN(S35/R35)*180/PI()+360),ATAN(S35/R35)*180/PI()+180))</f>
        <v>324.6047124192613</v>
      </c>
      <c r="V35" s="149">
        <f aca="true" t="shared" si="29" ref="V35:V66">ASIN(T35/SQRT(R35^2+S35^2+T35^2))*180/PI()</f>
        <v>68.26833394648112</v>
      </c>
      <c r="W35" s="116">
        <f t="shared" si="20"/>
        <v>144.60471241926132</v>
      </c>
      <c r="X35" s="114">
        <f aca="true" t="shared" si="30" ref="X35:X66">IF(W35-90&lt;0,W35+270,W35-90)</f>
        <v>54.60471241926132</v>
      </c>
      <c r="Y35" s="117">
        <f aca="true" t="shared" si="31" ref="Y35:Y66">IF(T35&lt;0,90+V35,90-V35)</f>
        <v>21.73166605351888</v>
      </c>
      <c r="Z35" s="124">
        <f aca="true" t="shared" si="32" ref="Z35:Z66">IF(-S35&lt;0,180-ACOS(SIN((W35-90)*PI()/180)*T35/SQRT(S35^2+T35^2))*180/PI(),ACOS(SIN((W35-90)*PI()/180)*T35/SQRT(S35^2+T35^2))*180/PI())</f>
        <v>37.41245748468395</v>
      </c>
      <c r="AA35" s="119">
        <f aca="true" t="shared" si="33" ref="AA35:AA66">IF(Q35=90,IF(Z35-P35&lt;0,Z35-P35+180,Z35-P35),IF(Z35+P35&gt;180,Z35+P35-180,Z35+P35))</f>
        <v>37.41245748468395</v>
      </c>
      <c r="AB35" s="120">
        <f aca="true" t="shared" si="34" ref="AB35:AB66">COS(AA35*PI()/180)</f>
        <v>0.7942825435991349</v>
      </c>
      <c r="AC35" s="120">
        <f aca="true" t="shared" si="35" ref="AC35:AC66">SIN(AA35*PI()/180)*COS(Y35*PI()/180)</f>
        <v>0.5643689077928302</v>
      </c>
      <c r="AD35" s="120">
        <f aca="true" t="shared" si="36" ref="AD35:AD66">SIN(AA35*PI()/180)*SIN(Y35*PI()/180)</f>
        <v>0.22495105434386495</v>
      </c>
      <c r="AE35" s="121">
        <f aca="true" t="shared" si="37" ref="AE35:AE66">IF(IF(AB35=0,IF(AC35&gt;=0,90,270),IF(AB35&gt;0,IF(AC35&gt;=0,ATAN(AC35/AB35)*180/PI(),ATAN(AC35/AB35)*180/PI()+360),ATAN(AC35/AB35)*180/PI()+180))-(360-X35)&lt;0,IF(AB35=0,IF(AC35&gt;=0,90,270),IF(AB35&gt;0,IF(AC35&gt;=0,ATAN(AC35/AB35)*180/PI(),ATAN(AC35/AB35)*180/PI()+360),ATAN(AC35/AB35)*180/PI()+180))+X35,IF(AB35=0,IF(AC35&gt;=0,90,270),IF(AB35&gt;0,IF(AC35&gt;=0,ATAN(AC35/AB35)*180/PI(),ATAN(AC35/AB35)*180/PI()+360),ATAN(AC35/AB35)*180/PI()+180))-(360-X35))</f>
        <v>90</v>
      </c>
      <c r="AF35" s="119">
        <f aca="true" t="shared" si="38" ref="AF35:AF66">ASIN(AD35/SQRT(AB35^2+AC35^2+AD35^2))*180/PI()</f>
        <v>12.999999999999998</v>
      </c>
      <c r="AG35" s="120">
        <f aca="true" t="shared" si="39" ref="AG35:AG66">SIN(AD35*PI()/180)*SIN(AB35*PI()/180)</f>
        <v>5.442554165946494E-05</v>
      </c>
      <c r="AH35" s="104">
        <v>24</v>
      </c>
      <c r="AI35" s="105">
        <v>31</v>
      </c>
      <c r="AJ35" s="125"/>
      <c r="AK35" s="179"/>
      <c r="AL35" s="116"/>
      <c r="AM35" s="114"/>
      <c r="AN35" s="117"/>
      <c r="AO35" s="121"/>
      <c r="AP35" s="124"/>
      <c r="AQ35" s="121"/>
      <c r="AR35" s="127"/>
    </row>
    <row r="36" spans="1:45" ht="15">
      <c r="A36" s="104" t="s">
        <v>139</v>
      </c>
      <c r="B36" s="105" t="s">
        <v>138</v>
      </c>
      <c r="C36" s="105" t="s">
        <v>164</v>
      </c>
      <c r="D36" s="106">
        <v>6</v>
      </c>
      <c r="E36" s="181" t="s">
        <v>48</v>
      </c>
      <c r="F36" s="105">
        <f>470.985+(I36/100)</f>
        <v>472.21500000000003</v>
      </c>
      <c r="G36" s="105">
        <f>470.985+(J36/100)</f>
        <v>472.22</v>
      </c>
      <c r="H36" s="182">
        <f t="shared" si="23"/>
        <v>472.21750000000003</v>
      </c>
      <c r="I36" s="110">
        <v>123</v>
      </c>
      <c r="J36" s="111">
        <v>123.5</v>
      </c>
      <c r="K36" s="105">
        <f t="shared" si="24"/>
        <v>123.25</v>
      </c>
      <c r="L36" s="104">
        <v>270</v>
      </c>
      <c r="M36" s="105">
        <v>5</v>
      </c>
      <c r="N36" s="105">
        <v>0</v>
      </c>
      <c r="O36" s="105">
        <v>6</v>
      </c>
      <c r="P36" s="105"/>
      <c r="Q36" s="106"/>
      <c r="R36" s="113">
        <f t="shared" si="25"/>
        <v>-0.10413070090691415</v>
      </c>
      <c r="S36" s="113">
        <f t="shared" si="26"/>
        <v>0.08667829446963066</v>
      </c>
      <c r="T36" s="113">
        <f t="shared" si="27"/>
        <v>0.9907374393020275</v>
      </c>
      <c r="U36" s="114">
        <f t="shared" si="28"/>
        <v>140.22603585620644</v>
      </c>
      <c r="V36" s="149">
        <f t="shared" si="29"/>
        <v>82.21297801271761</v>
      </c>
      <c r="W36" s="116">
        <f t="shared" si="20"/>
        <v>320.2260358562064</v>
      </c>
      <c r="X36" s="114">
        <f t="shared" si="30"/>
        <v>230.2260358562064</v>
      </c>
      <c r="Y36" s="117">
        <f t="shared" si="31"/>
        <v>7.787021987282387</v>
      </c>
      <c r="Z36" s="124">
        <f t="shared" si="32"/>
        <v>40.03517667409761</v>
      </c>
      <c r="AA36" s="119">
        <f t="shared" si="33"/>
        <v>40.03517667409761</v>
      </c>
      <c r="AB36" s="120">
        <f t="shared" si="34"/>
        <v>0.7656496600993852</v>
      </c>
      <c r="AC36" s="120">
        <f t="shared" si="35"/>
        <v>0.6373260346916638</v>
      </c>
      <c r="AD36" s="120">
        <f t="shared" si="36"/>
        <v>0.08715574274765835</v>
      </c>
      <c r="AE36" s="121">
        <f t="shared" si="37"/>
        <v>270</v>
      </c>
      <c r="AF36" s="119">
        <f t="shared" si="38"/>
        <v>5.00000000000001</v>
      </c>
      <c r="AG36" s="120">
        <f t="shared" si="39"/>
        <v>2.0326740578441455E-05</v>
      </c>
      <c r="AH36" s="104"/>
      <c r="AI36" s="105"/>
      <c r="AJ36" s="125"/>
      <c r="AK36" s="179"/>
      <c r="AL36" s="116"/>
      <c r="AM36" s="114"/>
      <c r="AN36" s="117"/>
      <c r="AO36" s="121"/>
      <c r="AP36" s="124"/>
      <c r="AQ36" s="121"/>
      <c r="AR36" s="127"/>
      <c r="AS36" s="91" t="s">
        <v>165</v>
      </c>
    </row>
    <row r="37" spans="1:44" ht="15">
      <c r="A37" s="104" t="s">
        <v>139</v>
      </c>
      <c r="B37" s="105" t="s">
        <v>138</v>
      </c>
      <c r="C37" s="105" t="s">
        <v>148</v>
      </c>
      <c r="D37" s="106">
        <v>2</v>
      </c>
      <c r="E37" s="181" t="s">
        <v>48</v>
      </c>
      <c r="F37" s="105">
        <f>477.45+(I37/100)</f>
        <v>478.735</v>
      </c>
      <c r="G37" s="105">
        <f>477.45+(J37/100)</f>
        <v>478.735</v>
      </c>
      <c r="H37" s="182">
        <f t="shared" si="23"/>
        <v>478.735</v>
      </c>
      <c r="I37" s="110">
        <v>128.5</v>
      </c>
      <c r="J37" s="111">
        <v>128.5</v>
      </c>
      <c r="K37" s="105">
        <f t="shared" si="24"/>
        <v>128.5</v>
      </c>
      <c r="L37" s="104">
        <v>270</v>
      </c>
      <c r="M37" s="105">
        <v>1</v>
      </c>
      <c r="N37" s="105">
        <v>0</v>
      </c>
      <c r="O37" s="105">
        <v>3</v>
      </c>
      <c r="P37" s="105"/>
      <c r="Q37" s="106"/>
      <c r="R37" s="113">
        <f t="shared" si="25"/>
        <v>-0.05232798522331313</v>
      </c>
      <c r="S37" s="113">
        <f t="shared" si="26"/>
        <v>0.017428488520812174</v>
      </c>
      <c r="T37" s="113">
        <f t="shared" si="27"/>
        <v>0.9984774386394599</v>
      </c>
      <c r="U37" s="114">
        <f t="shared" si="28"/>
        <v>161.57901920027496</v>
      </c>
      <c r="V37" s="149">
        <f t="shared" si="29"/>
        <v>86.83829951329474</v>
      </c>
      <c r="W37" s="116">
        <f t="shared" si="20"/>
        <v>341.57901920027496</v>
      </c>
      <c r="X37" s="114">
        <f t="shared" si="30"/>
        <v>251.57901920027496</v>
      </c>
      <c r="Y37" s="117">
        <f t="shared" si="31"/>
        <v>3.161700486705257</v>
      </c>
      <c r="Z37" s="124">
        <f t="shared" si="32"/>
        <v>18.447163402703552</v>
      </c>
      <c r="AA37" s="119">
        <f t="shared" si="33"/>
        <v>18.447163402703552</v>
      </c>
      <c r="AB37" s="120">
        <f t="shared" si="34"/>
        <v>0.9486158615927547</v>
      </c>
      <c r="AC37" s="120">
        <f t="shared" si="35"/>
        <v>0.31594835122877857</v>
      </c>
      <c r="AD37" s="120">
        <f t="shared" si="36"/>
        <v>0.017452406437282863</v>
      </c>
      <c r="AE37" s="121">
        <f t="shared" si="37"/>
        <v>270</v>
      </c>
      <c r="AF37" s="119">
        <f t="shared" si="38"/>
        <v>0.9999999999999627</v>
      </c>
      <c r="AG37" s="120">
        <f t="shared" si="39"/>
        <v>5.042902686369346E-06</v>
      </c>
      <c r="AH37" s="104">
        <v>118</v>
      </c>
      <c r="AI37" s="105">
        <v>134</v>
      </c>
      <c r="AJ37" s="151">
        <v>206.9</v>
      </c>
      <c r="AK37" s="153">
        <v>61</v>
      </c>
      <c r="AL37" s="159">
        <f>IF(AK37&gt;=0,IF(W37&gt;=AJ37,W37-AJ37,W37-AJ37+360),IF((W37-AJ37-180)&lt;0,IF(W37-AJ37+180&lt;0,W37-AJ37+540,W37-AJ37+180),W37-AJ37-180))</f>
        <v>134.67901920027495</v>
      </c>
      <c r="AM37" s="149">
        <f>IF(AL37-90&lt;0,AL37+270,AL37-90)</f>
        <v>44.67901920027495</v>
      </c>
      <c r="AN37" s="115">
        <f>Y37</f>
        <v>3.161700486705257</v>
      </c>
      <c r="AO37" s="121"/>
      <c r="AP37" s="124"/>
      <c r="AQ37" s="121"/>
      <c r="AR37" s="127"/>
    </row>
    <row r="38" spans="1:45" ht="15">
      <c r="A38" s="104" t="s">
        <v>139</v>
      </c>
      <c r="B38" s="105" t="s">
        <v>138</v>
      </c>
      <c r="C38" s="105" t="s">
        <v>148</v>
      </c>
      <c r="D38" s="106">
        <v>3</v>
      </c>
      <c r="E38" s="181" t="s">
        <v>145</v>
      </c>
      <c r="F38" s="105">
        <f>478.795+(I38/100)</f>
        <v>479.535</v>
      </c>
      <c r="G38" s="105">
        <f>478.795+(J38/100)</f>
        <v>479.735</v>
      </c>
      <c r="H38" s="182">
        <f t="shared" si="23"/>
        <v>479.635</v>
      </c>
      <c r="I38" s="110">
        <v>74</v>
      </c>
      <c r="J38" s="111">
        <v>94</v>
      </c>
      <c r="K38" s="105">
        <f t="shared" si="24"/>
        <v>84</v>
      </c>
      <c r="L38" s="104">
        <v>90</v>
      </c>
      <c r="M38" s="105">
        <v>83</v>
      </c>
      <c r="N38" s="105">
        <v>18</v>
      </c>
      <c r="O38" s="105">
        <v>0</v>
      </c>
      <c r="P38" s="105">
        <v>2</v>
      </c>
      <c r="Q38" s="106">
        <v>90</v>
      </c>
      <c r="R38" s="113">
        <f t="shared" si="25"/>
        <v>-0.30671362855862205</v>
      </c>
      <c r="S38" s="113">
        <f t="shared" si="26"/>
        <v>0.9439674852421569</v>
      </c>
      <c r="T38" s="113">
        <f t="shared" si="27"/>
        <v>-0.11590463318207732</v>
      </c>
      <c r="U38" s="114">
        <f t="shared" si="28"/>
        <v>108</v>
      </c>
      <c r="V38" s="149">
        <f t="shared" si="29"/>
        <v>-6.660551869779567</v>
      </c>
      <c r="W38" s="116">
        <f t="shared" si="20"/>
        <v>108</v>
      </c>
      <c r="X38" s="114">
        <f t="shared" si="30"/>
        <v>18</v>
      </c>
      <c r="Y38" s="117">
        <f t="shared" si="31"/>
        <v>83.33944813022043</v>
      </c>
      <c r="Z38" s="124">
        <f t="shared" si="32"/>
        <v>87.84174787205876</v>
      </c>
      <c r="AA38" s="119">
        <f t="shared" si="33"/>
        <v>85.84174787205876</v>
      </c>
      <c r="AB38" s="120">
        <f t="shared" si="34"/>
        <v>0.07251149670071723</v>
      </c>
      <c r="AC38" s="120">
        <f t="shared" si="35"/>
        <v>0.1156815850895791</v>
      </c>
      <c r="AD38" s="120">
        <f t="shared" si="36"/>
        <v>0.9906360854104721</v>
      </c>
      <c r="AE38" s="121">
        <f t="shared" si="37"/>
        <v>75.91970372085632</v>
      </c>
      <c r="AF38" s="119">
        <f t="shared" si="38"/>
        <v>82.15296071636689</v>
      </c>
      <c r="AG38" s="120">
        <f t="shared" si="39"/>
        <v>2.1880336374812282E-05</v>
      </c>
      <c r="AH38" s="104">
        <v>74</v>
      </c>
      <c r="AI38" s="105">
        <v>94</v>
      </c>
      <c r="AJ38" s="264">
        <v>172.3</v>
      </c>
      <c r="AK38" s="265">
        <v>57.8</v>
      </c>
      <c r="AL38" s="250">
        <f>IF(AK38&gt;=0,IF(W38&gt;=AJ38,W38-AJ38,W38-AJ38+360),IF((W38-AJ38-180)&lt;0,IF(W38-AJ38+180&lt;0,W38-AJ38+540,W38-AJ38+180),W38-AJ38-180))</f>
        <v>295.7</v>
      </c>
      <c r="AM38" s="251">
        <f>IF(AL38-90&lt;0,AL38+270,AL38-90)</f>
        <v>205.7</v>
      </c>
      <c r="AN38" s="252">
        <f>Y38</f>
        <v>83.33944813022043</v>
      </c>
      <c r="AO38" s="253">
        <f>AA38</f>
        <v>85.84174787205876</v>
      </c>
      <c r="AP38" s="254">
        <f>IF(AK38&gt;=0,IF(AE38&gt;=AJ38,AE38-AJ38,AE38-AJ38+360),IF((AE38-AJ38-180)&lt;0,IF(AE38-AJ38+180&lt;0,AE38-AJ38+540,AE38-AJ38+180),AE38-AJ38-180))</f>
        <v>263.6197037208563</v>
      </c>
      <c r="AQ38" s="253">
        <f>AF38</f>
        <v>82.15296071636689</v>
      </c>
      <c r="AR38" s="127"/>
      <c r="AS38" s="91" t="s">
        <v>147</v>
      </c>
    </row>
    <row r="39" spans="1:44" ht="15">
      <c r="A39" s="104" t="s">
        <v>139</v>
      </c>
      <c r="B39" s="105" t="s">
        <v>138</v>
      </c>
      <c r="C39" s="105" t="s">
        <v>148</v>
      </c>
      <c r="D39" s="106">
        <v>3</v>
      </c>
      <c r="E39" s="181" t="s">
        <v>48</v>
      </c>
      <c r="F39" s="105">
        <f>478.795+(I39/100)</f>
        <v>479.735</v>
      </c>
      <c r="G39" s="105">
        <f>478.795+(J39/100)</f>
        <v>479.735</v>
      </c>
      <c r="H39" s="182">
        <f t="shared" si="23"/>
        <v>479.735</v>
      </c>
      <c r="I39" s="110">
        <v>94</v>
      </c>
      <c r="J39" s="111">
        <v>94</v>
      </c>
      <c r="K39" s="105">
        <f t="shared" si="24"/>
        <v>94</v>
      </c>
      <c r="L39" s="104">
        <v>90</v>
      </c>
      <c r="M39" s="105">
        <v>3</v>
      </c>
      <c r="N39" s="105">
        <v>0</v>
      </c>
      <c r="O39" s="105">
        <v>3</v>
      </c>
      <c r="P39" s="105"/>
      <c r="Q39" s="106"/>
      <c r="R39" s="113">
        <f t="shared" si="25"/>
        <v>0.05226423163382673</v>
      </c>
      <c r="S39" s="113">
        <f t="shared" si="26"/>
        <v>0.05226423163382673</v>
      </c>
      <c r="T39" s="113">
        <f t="shared" si="27"/>
        <v>-0.9972609476841365</v>
      </c>
      <c r="U39" s="114">
        <f t="shared" si="28"/>
        <v>45</v>
      </c>
      <c r="V39" s="149">
        <f t="shared" si="29"/>
        <v>-85.76122797743554</v>
      </c>
      <c r="W39" s="116">
        <f t="shared" si="20"/>
        <v>45</v>
      </c>
      <c r="X39" s="114">
        <f t="shared" si="30"/>
        <v>315</v>
      </c>
      <c r="Y39" s="117">
        <f t="shared" si="31"/>
        <v>4.238772022564461</v>
      </c>
      <c r="Z39" s="124">
        <f t="shared" si="32"/>
        <v>134.92153183310086</v>
      </c>
      <c r="AA39" s="119">
        <f t="shared" si="33"/>
        <v>134.92153183310086</v>
      </c>
      <c r="AB39" s="120">
        <f t="shared" si="34"/>
        <v>-0.7061377159181264</v>
      </c>
      <c r="AC39" s="120">
        <f t="shared" si="35"/>
        <v>0.7061377159181261</v>
      </c>
      <c r="AD39" s="120">
        <f t="shared" si="36"/>
        <v>0.05233595624294392</v>
      </c>
      <c r="AE39" s="121">
        <f t="shared" si="37"/>
        <v>90</v>
      </c>
      <c r="AF39" s="119">
        <f t="shared" si="38"/>
        <v>3.000000000000005</v>
      </c>
      <c r="AG39" s="120">
        <f t="shared" si="39"/>
        <v>-1.125727440767848E-05</v>
      </c>
      <c r="AH39" s="104"/>
      <c r="AI39" s="105"/>
      <c r="AJ39" s="125"/>
      <c r="AK39" s="179"/>
      <c r="AL39" s="185"/>
      <c r="AM39" s="180"/>
      <c r="AN39" s="186"/>
      <c r="AO39" s="121"/>
      <c r="AP39" s="124"/>
      <c r="AQ39" s="121"/>
      <c r="AR39" s="127"/>
    </row>
    <row r="40" spans="1:44" ht="15">
      <c r="A40" s="104" t="s">
        <v>139</v>
      </c>
      <c r="B40" s="105" t="s">
        <v>138</v>
      </c>
      <c r="C40" s="105" t="s">
        <v>163</v>
      </c>
      <c r="D40" s="106">
        <v>1</v>
      </c>
      <c r="E40" s="181" t="s">
        <v>48</v>
      </c>
      <c r="F40" s="105">
        <f>485.5+(I40/100)</f>
        <v>485.98</v>
      </c>
      <c r="G40" s="105">
        <f>485.5+(J40/100)</f>
        <v>485.99</v>
      </c>
      <c r="H40" s="182">
        <f t="shared" si="23"/>
        <v>485.985</v>
      </c>
      <c r="I40" s="110">
        <v>48</v>
      </c>
      <c r="J40" s="111">
        <v>49</v>
      </c>
      <c r="K40" s="105">
        <f t="shared" si="24"/>
        <v>48.5</v>
      </c>
      <c r="L40" s="104">
        <v>90</v>
      </c>
      <c r="M40" s="105">
        <v>3</v>
      </c>
      <c r="N40" s="105">
        <v>180</v>
      </c>
      <c r="O40" s="105">
        <v>1</v>
      </c>
      <c r="P40" s="105"/>
      <c r="Q40" s="106"/>
      <c r="R40" s="113">
        <f t="shared" si="25"/>
        <v>0.017428488520812156</v>
      </c>
      <c r="S40" s="113">
        <f t="shared" si="26"/>
        <v>-0.05232798522331313</v>
      </c>
      <c r="T40" s="113">
        <f t="shared" si="27"/>
        <v>0.9984774386394599</v>
      </c>
      <c r="U40" s="114">
        <f t="shared" si="28"/>
        <v>288.42098079972504</v>
      </c>
      <c r="V40" s="149">
        <f t="shared" si="29"/>
        <v>86.83829951329474</v>
      </c>
      <c r="W40" s="116">
        <f t="shared" si="20"/>
        <v>108.42098079972504</v>
      </c>
      <c r="X40" s="114">
        <f t="shared" si="30"/>
        <v>18.420980799725044</v>
      </c>
      <c r="Y40" s="117">
        <f t="shared" si="31"/>
        <v>3.161700486705257</v>
      </c>
      <c r="Z40" s="124">
        <f t="shared" si="32"/>
        <v>71.60516990378264</v>
      </c>
      <c r="AA40" s="119">
        <f t="shared" si="33"/>
        <v>71.60516990378264</v>
      </c>
      <c r="AB40" s="120">
        <f t="shared" si="34"/>
        <v>0.3155634168309186</v>
      </c>
      <c r="AC40" s="120">
        <f t="shared" si="35"/>
        <v>0.9474601192884757</v>
      </c>
      <c r="AD40" s="120">
        <f t="shared" si="36"/>
        <v>0.05233595624294187</v>
      </c>
      <c r="AE40" s="121">
        <f t="shared" si="37"/>
        <v>90.00000000000001</v>
      </c>
      <c r="AF40" s="119">
        <f t="shared" si="38"/>
        <v>2.9999999999998876</v>
      </c>
      <c r="AG40" s="120">
        <f t="shared" si="39"/>
        <v>5.0308259526140035E-06</v>
      </c>
      <c r="AH40" s="104">
        <v>45</v>
      </c>
      <c r="AI40" s="105">
        <v>53</v>
      </c>
      <c r="AJ40" s="151">
        <v>25.2</v>
      </c>
      <c r="AK40" s="153">
        <v>70.7</v>
      </c>
      <c r="AL40" s="159">
        <f>IF(AK40&gt;=0,IF(W40&gt;=AJ40,W40-AJ40,W40-AJ40+360),IF((W40-AJ40-180)&lt;0,IF(W40-AJ40+180&lt;0,W40-AJ40+540,W40-AJ40+180),W40-AJ40-180))</f>
        <v>83.22098079972504</v>
      </c>
      <c r="AM40" s="149">
        <f>IF(AL40-90&lt;0,AL40+270,AL40-90)</f>
        <v>353.22098079972506</v>
      </c>
      <c r="AN40" s="115">
        <f>Y40</f>
        <v>3.161700486705257</v>
      </c>
      <c r="AO40" s="121"/>
      <c r="AP40" s="124"/>
      <c r="AQ40" s="121"/>
      <c r="AR40" s="127"/>
    </row>
    <row r="41" spans="1:44" ht="15">
      <c r="A41" s="104" t="s">
        <v>139</v>
      </c>
      <c r="B41" s="105" t="s">
        <v>138</v>
      </c>
      <c r="C41" s="105" t="s">
        <v>163</v>
      </c>
      <c r="D41" s="106">
        <v>1</v>
      </c>
      <c r="E41" s="181" t="s">
        <v>48</v>
      </c>
      <c r="F41" s="105">
        <f>485.5+(I41/100)</f>
        <v>486.47</v>
      </c>
      <c r="G41" s="105">
        <f>485.5+(J41/100)</f>
        <v>486.48</v>
      </c>
      <c r="H41" s="182">
        <f t="shared" si="23"/>
        <v>486.475</v>
      </c>
      <c r="I41" s="110">
        <v>97</v>
      </c>
      <c r="J41" s="111">
        <v>98</v>
      </c>
      <c r="K41" s="105">
        <f t="shared" si="24"/>
        <v>97.5</v>
      </c>
      <c r="L41" s="104">
        <v>270</v>
      </c>
      <c r="M41" s="105">
        <v>4</v>
      </c>
      <c r="N41" s="105">
        <v>180</v>
      </c>
      <c r="O41" s="105">
        <v>2</v>
      </c>
      <c r="P41" s="105"/>
      <c r="Q41" s="106"/>
      <c r="R41" s="113">
        <f t="shared" si="25"/>
        <v>-0.034814483282576254</v>
      </c>
      <c r="S41" s="113">
        <f t="shared" si="26"/>
        <v>-0.06971397998507722</v>
      </c>
      <c r="T41" s="113">
        <f t="shared" si="27"/>
        <v>-0.9969563611936845</v>
      </c>
      <c r="U41" s="114">
        <f t="shared" si="28"/>
        <v>243.46290360641922</v>
      </c>
      <c r="V41" s="149">
        <f t="shared" si="29"/>
        <v>-85.53076266752878</v>
      </c>
      <c r="W41" s="116">
        <f t="shared" si="20"/>
        <v>243.46290360641922</v>
      </c>
      <c r="X41" s="114">
        <f t="shared" si="30"/>
        <v>153.46290360641922</v>
      </c>
      <c r="Y41" s="117">
        <f t="shared" si="31"/>
        <v>4.469237332471224</v>
      </c>
      <c r="Z41" s="124">
        <f t="shared" si="32"/>
        <v>116.46741781515533</v>
      </c>
      <c r="AA41" s="119">
        <f t="shared" si="33"/>
        <v>116.46741781515533</v>
      </c>
      <c r="AB41" s="120">
        <f t="shared" si="34"/>
        <v>-0.44568882188682285</v>
      </c>
      <c r="AC41" s="120">
        <f t="shared" si="35"/>
        <v>0.8924659704526111</v>
      </c>
      <c r="AD41" s="120">
        <f t="shared" si="36"/>
        <v>0.06975647374412539</v>
      </c>
      <c r="AE41" s="121">
        <f t="shared" si="37"/>
        <v>270</v>
      </c>
      <c r="AF41" s="119">
        <f t="shared" si="38"/>
        <v>4.000000000000005</v>
      </c>
      <c r="AG41" s="120">
        <f t="shared" si="39"/>
        <v>-9.470360440068982E-06</v>
      </c>
      <c r="AH41" s="104"/>
      <c r="AI41" s="105"/>
      <c r="AJ41" s="151"/>
      <c r="AK41" s="153"/>
      <c r="AL41" s="159"/>
      <c r="AM41" s="149"/>
      <c r="AN41" s="115"/>
      <c r="AO41" s="121"/>
      <c r="AP41" s="124"/>
      <c r="AQ41" s="121"/>
      <c r="AR41" s="127"/>
    </row>
    <row r="42" spans="1:44" ht="15">
      <c r="A42" s="104" t="s">
        <v>139</v>
      </c>
      <c r="B42" s="105" t="s">
        <v>138</v>
      </c>
      <c r="C42" s="105" t="s">
        <v>163</v>
      </c>
      <c r="D42" s="106">
        <v>3</v>
      </c>
      <c r="E42" s="181" t="s">
        <v>48</v>
      </c>
      <c r="F42" s="105">
        <f>488.305+(I42/100)</f>
        <v>488.445</v>
      </c>
      <c r="G42" s="105">
        <f>488.305+(J42/100)</f>
        <v>488.455</v>
      </c>
      <c r="H42" s="182">
        <f t="shared" si="23"/>
        <v>488.45</v>
      </c>
      <c r="I42" s="110">
        <v>14</v>
      </c>
      <c r="J42" s="111">
        <v>15</v>
      </c>
      <c r="K42" s="105">
        <f t="shared" si="24"/>
        <v>14.5</v>
      </c>
      <c r="L42" s="104">
        <v>270</v>
      </c>
      <c r="M42" s="105">
        <v>4</v>
      </c>
      <c r="N42" s="105">
        <v>180</v>
      </c>
      <c r="O42" s="105">
        <v>2</v>
      </c>
      <c r="P42" s="105"/>
      <c r="Q42" s="106"/>
      <c r="R42" s="113">
        <f t="shared" si="25"/>
        <v>-0.034814483282576254</v>
      </c>
      <c r="S42" s="113">
        <f t="shared" si="26"/>
        <v>-0.06971397998507722</v>
      </c>
      <c r="T42" s="113">
        <f t="shared" si="27"/>
        <v>-0.9969563611936845</v>
      </c>
      <c r="U42" s="114">
        <f t="shared" si="28"/>
        <v>243.46290360641922</v>
      </c>
      <c r="V42" s="149">
        <f t="shared" si="29"/>
        <v>-85.53076266752878</v>
      </c>
      <c r="W42" s="116">
        <f t="shared" si="20"/>
        <v>243.46290360641922</v>
      </c>
      <c r="X42" s="114">
        <f t="shared" si="30"/>
        <v>153.46290360641922</v>
      </c>
      <c r="Y42" s="117">
        <f t="shared" si="31"/>
        <v>4.469237332471224</v>
      </c>
      <c r="Z42" s="124">
        <f t="shared" si="32"/>
        <v>116.46741781515533</v>
      </c>
      <c r="AA42" s="119">
        <f t="shared" si="33"/>
        <v>116.46741781515533</v>
      </c>
      <c r="AB42" s="120">
        <f t="shared" si="34"/>
        <v>-0.44568882188682285</v>
      </c>
      <c r="AC42" s="120">
        <f t="shared" si="35"/>
        <v>0.8924659704526111</v>
      </c>
      <c r="AD42" s="120">
        <f t="shared" si="36"/>
        <v>0.06975647374412539</v>
      </c>
      <c r="AE42" s="121">
        <f t="shared" si="37"/>
        <v>270</v>
      </c>
      <c r="AF42" s="119">
        <f t="shared" si="38"/>
        <v>4.000000000000005</v>
      </c>
      <c r="AG42" s="120">
        <f t="shared" si="39"/>
        <v>-9.470360440068982E-06</v>
      </c>
      <c r="AH42" s="104">
        <v>14</v>
      </c>
      <c r="AI42" s="105">
        <v>21</v>
      </c>
      <c r="AJ42" s="151">
        <v>151.8</v>
      </c>
      <c r="AK42" s="153">
        <v>55</v>
      </c>
      <c r="AL42" s="159">
        <f>IF(AK42&gt;=0,IF(W42&gt;=AJ42,W42-AJ42,W42-AJ42+360),IF((W42-AJ42-180)&lt;0,IF(W42-AJ42+180&lt;0,W42-AJ42+540,W42-AJ42+180),W42-AJ42-180))</f>
        <v>91.6629036064192</v>
      </c>
      <c r="AM42" s="149">
        <f>IF(AL42-90&lt;0,AL42+270,AL42-90)</f>
        <v>1.6629036064192064</v>
      </c>
      <c r="AN42" s="115">
        <f>Y42</f>
        <v>4.469237332471224</v>
      </c>
      <c r="AO42" s="121"/>
      <c r="AP42" s="124"/>
      <c r="AQ42" s="121"/>
      <c r="AR42" s="127"/>
    </row>
    <row r="43" spans="1:44" ht="15">
      <c r="A43" s="104" t="s">
        <v>139</v>
      </c>
      <c r="B43" s="105" t="s">
        <v>138</v>
      </c>
      <c r="C43" s="105" t="s">
        <v>163</v>
      </c>
      <c r="D43" s="106">
        <v>3</v>
      </c>
      <c r="E43" s="181" t="s">
        <v>48</v>
      </c>
      <c r="F43" s="105">
        <f>488.305+(I43/100)</f>
        <v>488.855</v>
      </c>
      <c r="G43" s="105">
        <f>488.305+(J43/100)</f>
        <v>488.865</v>
      </c>
      <c r="H43" s="182">
        <f t="shared" si="23"/>
        <v>488.86</v>
      </c>
      <c r="I43" s="110">
        <v>55</v>
      </c>
      <c r="J43" s="111">
        <v>56</v>
      </c>
      <c r="K43" s="105">
        <f t="shared" si="24"/>
        <v>55.5</v>
      </c>
      <c r="L43" s="104">
        <v>270</v>
      </c>
      <c r="M43" s="105">
        <v>1</v>
      </c>
      <c r="N43" s="105">
        <v>0</v>
      </c>
      <c r="O43" s="105">
        <v>1</v>
      </c>
      <c r="P43" s="105"/>
      <c r="Q43" s="106"/>
      <c r="R43" s="113">
        <f t="shared" si="25"/>
        <v>-0.017449748351250485</v>
      </c>
      <c r="S43" s="113">
        <f t="shared" si="26"/>
        <v>0.017449748351250488</v>
      </c>
      <c r="T43" s="113">
        <f t="shared" si="27"/>
        <v>0.9996954135095479</v>
      </c>
      <c r="U43" s="114">
        <f t="shared" si="28"/>
        <v>135</v>
      </c>
      <c r="V43" s="149">
        <f t="shared" si="29"/>
        <v>88.58593000067147</v>
      </c>
      <c r="W43" s="116">
        <f t="shared" si="20"/>
        <v>315</v>
      </c>
      <c r="X43" s="114">
        <f t="shared" si="30"/>
        <v>225</v>
      </c>
      <c r="Y43" s="117">
        <f t="shared" si="31"/>
        <v>1.4140699993285324</v>
      </c>
      <c r="Z43" s="124">
        <f t="shared" si="32"/>
        <v>45.00872576033473</v>
      </c>
      <c r="AA43" s="119">
        <f t="shared" si="33"/>
        <v>45.00872576033473</v>
      </c>
      <c r="AB43" s="120">
        <f t="shared" si="34"/>
        <v>0.7069990853988243</v>
      </c>
      <c r="AC43" s="120">
        <f t="shared" si="35"/>
        <v>0.7069990853988242</v>
      </c>
      <c r="AD43" s="120">
        <f t="shared" si="36"/>
        <v>0.017452406437283956</v>
      </c>
      <c r="AE43" s="121">
        <f t="shared" si="37"/>
        <v>270</v>
      </c>
      <c r="AF43" s="119">
        <f t="shared" si="38"/>
        <v>1.0000000000000255</v>
      </c>
      <c r="AG43" s="120">
        <f t="shared" si="39"/>
        <v>3.758528759220715E-06</v>
      </c>
      <c r="AH43" s="104"/>
      <c r="AI43" s="105"/>
      <c r="AJ43" s="125"/>
      <c r="AK43" s="179"/>
      <c r="AL43" s="116"/>
      <c r="AM43" s="114"/>
      <c r="AN43" s="117"/>
      <c r="AO43" s="121"/>
      <c r="AP43" s="124"/>
      <c r="AQ43" s="121"/>
      <c r="AR43" s="127"/>
    </row>
    <row r="44" spans="1:44" ht="15">
      <c r="A44" s="104" t="s">
        <v>139</v>
      </c>
      <c r="B44" s="105" t="s">
        <v>138</v>
      </c>
      <c r="C44" s="105" t="s">
        <v>143</v>
      </c>
      <c r="D44" s="106">
        <v>7</v>
      </c>
      <c r="E44" s="181" t="s">
        <v>172</v>
      </c>
      <c r="F44" s="105">
        <f aca="true" t="shared" si="40" ref="F44:G46">500.785+(I44/100)</f>
        <v>501.76500000000004</v>
      </c>
      <c r="G44" s="105">
        <f t="shared" si="40"/>
        <v>501.785</v>
      </c>
      <c r="H44" s="182">
        <f t="shared" si="23"/>
        <v>501.77500000000003</v>
      </c>
      <c r="I44" s="110">
        <v>98</v>
      </c>
      <c r="J44" s="111">
        <v>100</v>
      </c>
      <c r="K44" s="105">
        <f t="shared" si="24"/>
        <v>99</v>
      </c>
      <c r="L44" s="104">
        <v>270</v>
      </c>
      <c r="M44" s="105">
        <v>20</v>
      </c>
      <c r="N44" s="105">
        <v>180</v>
      </c>
      <c r="O44" s="105">
        <v>7</v>
      </c>
      <c r="P44" s="105"/>
      <c r="Q44" s="106"/>
      <c r="R44" s="113">
        <f t="shared" si="25"/>
        <v>-0.11451972269784094</v>
      </c>
      <c r="S44" s="113">
        <f t="shared" si="26"/>
        <v>-0.33947077704170586</v>
      </c>
      <c r="T44" s="113">
        <f t="shared" si="27"/>
        <v>-0.9326882944868016</v>
      </c>
      <c r="U44" s="114">
        <f t="shared" si="28"/>
        <v>251.3582898495565</v>
      </c>
      <c r="V44" s="149">
        <f t="shared" si="29"/>
        <v>-68.98707553179555</v>
      </c>
      <c r="W44" s="116">
        <f aca="true" t="shared" si="41" ref="W44:W75">IF(T44&lt;0,U44,IF(U44+180&gt;=360,U44-180,U44+180))</f>
        <v>251.3582898495565</v>
      </c>
      <c r="X44" s="114">
        <f t="shared" si="30"/>
        <v>161.3582898495565</v>
      </c>
      <c r="Y44" s="117">
        <f t="shared" si="31"/>
        <v>21.012924468204446</v>
      </c>
      <c r="Z44" s="124">
        <f t="shared" si="32"/>
        <v>107.4799462452591</v>
      </c>
      <c r="AA44" s="119">
        <f t="shared" si="33"/>
        <v>107.4799462452591</v>
      </c>
      <c r="AB44" s="120">
        <f t="shared" si="34"/>
        <v>-0.3003719762993903</v>
      </c>
      <c r="AC44" s="120">
        <f t="shared" si="35"/>
        <v>0.8903925524247649</v>
      </c>
      <c r="AD44" s="120">
        <f t="shared" si="36"/>
        <v>0.34202014332566855</v>
      </c>
      <c r="AE44" s="121">
        <f t="shared" si="37"/>
        <v>270</v>
      </c>
      <c r="AF44" s="119">
        <f t="shared" si="38"/>
        <v>19.99999999999999</v>
      </c>
      <c r="AG44" s="120">
        <f t="shared" si="39"/>
        <v>-3.1294013332641376E-05</v>
      </c>
      <c r="AH44" s="104"/>
      <c r="AI44" s="105"/>
      <c r="AJ44" s="125"/>
      <c r="AK44" s="179"/>
      <c r="AL44" s="116"/>
      <c r="AM44" s="114"/>
      <c r="AN44" s="117"/>
      <c r="AO44" s="121"/>
      <c r="AP44" s="124"/>
      <c r="AQ44" s="121"/>
      <c r="AR44" s="127"/>
    </row>
    <row r="45" spans="1:45" ht="15">
      <c r="A45" s="104" t="s">
        <v>139</v>
      </c>
      <c r="B45" s="105" t="s">
        <v>138</v>
      </c>
      <c r="C45" s="105" t="s">
        <v>143</v>
      </c>
      <c r="D45" s="106">
        <v>7</v>
      </c>
      <c r="E45" s="181" t="s">
        <v>174</v>
      </c>
      <c r="F45" s="105">
        <f t="shared" si="40"/>
        <v>501.76500000000004</v>
      </c>
      <c r="G45" s="105">
        <f t="shared" si="40"/>
        <v>501.785</v>
      </c>
      <c r="H45" s="182">
        <f t="shared" si="23"/>
        <v>501.77500000000003</v>
      </c>
      <c r="I45" s="110">
        <v>98</v>
      </c>
      <c r="J45" s="111">
        <v>100</v>
      </c>
      <c r="K45" s="105">
        <f t="shared" si="24"/>
        <v>99</v>
      </c>
      <c r="L45" s="104">
        <v>270</v>
      </c>
      <c r="M45" s="105">
        <v>67</v>
      </c>
      <c r="N45" s="105">
        <v>59</v>
      </c>
      <c r="O45" s="105">
        <v>0</v>
      </c>
      <c r="P45" s="105"/>
      <c r="Q45" s="106"/>
      <c r="R45" s="113">
        <f t="shared" si="25"/>
        <v>-0.7890266605170216</v>
      </c>
      <c r="S45" s="113">
        <f t="shared" si="26"/>
        <v>0.47409504766750654</v>
      </c>
      <c r="T45" s="113">
        <f t="shared" si="27"/>
        <v>0.2012414082245487</v>
      </c>
      <c r="U45" s="114">
        <f t="shared" si="28"/>
        <v>149</v>
      </c>
      <c r="V45" s="149">
        <f t="shared" si="29"/>
        <v>12.332016628158138</v>
      </c>
      <c r="W45" s="116">
        <f t="shared" si="41"/>
        <v>329</v>
      </c>
      <c r="X45" s="114">
        <f t="shared" si="30"/>
        <v>239</v>
      </c>
      <c r="Y45" s="117">
        <f t="shared" si="31"/>
        <v>77.66798337184186</v>
      </c>
      <c r="Z45" s="124">
        <f t="shared" si="32"/>
        <v>70.43220836458111</v>
      </c>
      <c r="AA45" s="119">
        <f t="shared" si="33"/>
        <v>70.43220836458111</v>
      </c>
      <c r="AB45" s="120">
        <f t="shared" si="34"/>
        <v>0.33492194670744097</v>
      </c>
      <c r="AC45" s="120">
        <f t="shared" si="35"/>
        <v>0.20124140822454878</v>
      </c>
      <c r="AD45" s="120">
        <f t="shared" si="36"/>
        <v>0.9205048534524403</v>
      </c>
      <c r="AE45" s="121">
        <f t="shared" si="37"/>
        <v>270</v>
      </c>
      <c r="AF45" s="119">
        <f t="shared" si="38"/>
        <v>66.99999999999999</v>
      </c>
      <c r="AG45" s="120">
        <f t="shared" si="39"/>
        <v>9.390814644961381E-05</v>
      </c>
      <c r="AH45" s="104"/>
      <c r="AI45" s="105"/>
      <c r="AJ45" s="125"/>
      <c r="AK45" s="179"/>
      <c r="AL45" s="116"/>
      <c r="AM45" s="114"/>
      <c r="AN45" s="117"/>
      <c r="AO45" s="121"/>
      <c r="AP45" s="124"/>
      <c r="AQ45" s="121"/>
      <c r="AR45" s="127"/>
      <c r="AS45" s="91" t="s">
        <v>142</v>
      </c>
    </row>
    <row r="46" spans="1:45" ht="15">
      <c r="A46" s="104" t="s">
        <v>139</v>
      </c>
      <c r="B46" s="105" t="s">
        <v>138</v>
      </c>
      <c r="C46" s="105" t="s">
        <v>143</v>
      </c>
      <c r="D46" s="106">
        <v>7</v>
      </c>
      <c r="E46" s="181" t="s">
        <v>174</v>
      </c>
      <c r="F46" s="105">
        <f t="shared" si="40"/>
        <v>501.88500000000005</v>
      </c>
      <c r="G46" s="105">
        <f t="shared" si="40"/>
        <v>501.985</v>
      </c>
      <c r="H46" s="182">
        <f t="shared" si="23"/>
        <v>501.93500000000006</v>
      </c>
      <c r="I46" s="110">
        <v>110</v>
      </c>
      <c r="J46" s="111">
        <v>120</v>
      </c>
      <c r="K46" s="105">
        <f t="shared" si="24"/>
        <v>115</v>
      </c>
      <c r="L46" s="104">
        <v>270</v>
      </c>
      <c r="M46" s="105">
        <v>82</v>
      </c>
      <c r="N46" s="105">
        <v>30</v>
      </c>
      <c r="O46" s="105">
        <v>0</v>
      </c>
      <c r="P46" s="105"/>
      <c r="Q46" s="106"/>
      <c r="R46" s="113">
        <f t="shared" si="25"/>
        <v>-0.49513403437078507</v>
      </c>
      <c r="S46" s="113">
        <f t="shared" si="26"/>
        <v>0.8575973040867547</v>
      </c>
      <c r="T46" s="113">
        <f t="shared" si="27"/>
        <v>0.12052744095487333</v>
      </c>
      <c r="U46" s="114">
        <f t="shared" si="28"/>
        <v>120</v>
      </c>
      <c r="V46" s="149">
        <f t="shared" si="29"/>
        <v>6.939447889711547</v>
      </c>
      <c r="W46" s="116">
        <f t="shared" si="41"/>
        <v>300</v>
      </c>
      <c r="X46" s="114">
        <f t="shared" si="30"/>
        <v>210</v>
      </c>
      <c r="Y46" s="117">
        <f t="shared" si="31"/>
        <v>83.06055211028846</v>
      </c>
      <c r="Z46" s="124">
        <f t="shared" si="32"/>
        <v>86.00975960183783</v>
      </c>
      <c r="AA46" s="119">
        <f t="shared" si="33"/>
        <v>86.00975960183783</v>
      </c>
      <c r="AB46" s="120">
        <f t="shared" si="34"/>
        <v>0.06958655048003322</v>
      </c>
      <c r="AC46" s="120">
        <f t="shared" si="35"/>
        <v>0.12052744095487322</v>
      </c>
      <c r="AD46" s="120">
        <f t="shared" si="36"/>
        <v>0.9902680687415703</v>
      </c>
      <c r="AE46" s="121">
        <f t="shared" si="37"/>
        <v>269.99999999999983</v>
      </c>
      <c r="AF46" s="119">
        <f t="shared" si="38"/>
        <v>81.99999999999997</v>
      </c>
      <c r="AG46" s="120">
        <f t="shared" si="39"/>
        <v>2.098993482536103E-05</v>
      </c>
      <c r="AH46" s="104"/>
      <c r="AI46" s="105"/>
      <c r="AJ46" s="125"/>
      <c r="AK46" s="179"/>
      <c r="AL46" s="116"/>
      <c r="AM46" s="114"/>
      <c r="AN46" s="117"/>
      <c r="AO46" s="121"/>
      <c r="AP46" s="124"/>
      <c r="AQ46" s="121"/>
      <c r="AR46" s="127"/>
      <c r="AS46" s="91" t="s">
        <v>136</v>
      </c>
    </row>
    <row r="47" spans="1:44" ht="15">
      <c r="A47" s="104" t="s">
        <v>139</v>
      </c>
      <c r="B47" s="105" t="s">
        <v>138</v>
      </c>
      <c r="C47" s="105" t="s">
        <v>143</v>
      </c>
      <c r="D47" s="106">
        <v>8</v>
      </c>
      <c r="E47" s="181" t="s">
        <v>48</v>
      </c>
      <c r="F47" s="105">
        <f>502.005+(I47/100)</f>
        <v>502.275</v>
      </c>
      <c r="G47" s="105">
        <f>502.005+(J47/100)</f>
        <v>502.28499999999997</v>
      </c>
      <c r="H47" s="182">
        <f t="shared" si="23"/>
        <v>502.28</v>
      </c>
      <c r="I47" s="110">
        <v>27</v>
      </c>
      <c r="J47" s="111">
        <v>28</v>
      </c>
      <c r="K47" s="105">
        <f t="shared" si="24"/>
        <v>27.5</v>
      </c>
      <c r="L47" s="104">
        <v>90</v>
      </c>
      <c r="M47" s="105">
        <v>1</v>
      </c>
      <c r="N47" s="105">
        <v>0</v>
      </c>
      <c r="O47" s="105">
        <v>5</v>
      </c>
      <c r="P47" s="105"/>
      <c r="Q47" s="106"/>
      <c r="R47" s="113">
        <f t="shared" si="25"/>
        <v>0.08714246850588939</v>
      </c>
      <c r="S47" s="113">
        <f t="shared" si="26"/>
        <v>0.017385994761764077</v>
      </c>
      <c r="T47" s="113">
        <f t="shared" si="27"/>
        <v>-0.9960429728140489</v>
      </c>
      <c r="U47" s="114">
        <f t="shared" si="28"/>
        <v>11.283061820529971</v>
      </c>
      <c r="V47" s="149">
        <f t="shared" si="29"/>
        <v>-84.90197245232014</v>
      </c>
      <c r="W47" s="116">
        <f t="shared" si="41"/>
        <v>11.283061820529971</v>
      </c>
      <c r="X47" s="114">
        <f t="shared" si="30"/>
        <v>281.28306182052995</v>
      </c>
      <c r="Y47" s="117">
        <f t="shared" si="31"/>
        <v>5.098027547679862</v>
      </c>
      <c r="Z47" s="124">
        <f t="shared" si="32"/>
        <v>168.67328275495868</v>
      </c>
      <c r="AA47" s="119">
        <f t="shared" si="33"/>
        <v>168.67328275495868</v>
      </c>
      <c r="AB47" s="120">
        <f t="shared" si="34"/>
        <v>-0.9805231814879485</v>
      </c>
      <c r="AC47" s="120">
        <f t="shared" si="35"/>
        <v>0.1956264401207042</v>
      </c>
      <c r="AD47" s="120">
        <f t="shared" si="36"/>
        <v>0.017452406437283213</v>
      </c>
      <c r="AE47" s="121">
        <f t="shared" si="37"/>
        <v>89.99999999999997</v>
      </c>
      <c r="AF47" s="119">
        <f t="shared" si="38"/>
        <v>0.9999999999999829</v>
      </c>
      <c r="AG47" s="120">
        <f t="shared" si="39"/>
        <v>-5.212507753146946E-06</v>
      </c>
      <c r="AH47" s="104">
        <v>0</v>
      </c>
      <c r="AI47" s="105">
        <v>35</v>
      </c>
      <c r="AJ47" s="264">
        <v>122.1</v>
      </c>
      <c r="AK47" s="265">
        <v>-8.6</v>
      </c>
      <c r="AL47" s="250">
        <f>IF(AK47&gt;=0,IF(W47&gt;=AJ47,W47-AJ47,W47-AJ47+360),IF((W47-AJ47-180)&lt;0,IF(W47-AJ47+180&lt;0,W47-AJ47+540,W47-AJ47+180),W47-AJ47-180))</f>
        <v>69.18306182052997</v>
      </c>
      <c r="AM47" s="251">
        <f>IF(AL47-90&lt;0,AL47+270,AL47-90)</f>
        <v>339.18306182053</v>
      </c>
      <c r="AN47" s="252">
        <f>Y47</f>
        <v>5.098027547679862</v>
      </c>
      <c r="AO47" s="253"/>
      <c r="AP47" s="254"/>
      <c r="AQ47" s="253"/>
      <c r="AR47" s="127"/>
    </row>
    <row r="48" spans="1:44" ht="15">
      <c r="A48" s="104" t="s">
        <v>139</v>
      </c>
      <c r="B48" s="105" t="s">
        <v>138</v>
      </c>
      <c r="C48" s="105" t="s">
        <v>143</v>
      </c>
      <c r="D48" s="106">
        <v>8</v>
      </c>
      <c r="E48" s="181" t="s">
        <v>145</v>
      </c>
      <c r="F48" s="105">
        <f>502.005+(I48/100)</f>
        <v>502.645</v>
      </c>
      <c r="G48" s="105">
        <f>502.005+(J48/100)</f>
        <v>502.755</v>
      </c>
      <c r="H48" s="182">
        <f t="shared" si="23"/>
        <v>502.7</v>
      </c>
      <c r="I48" s="110">
        <v>64</v>
      </c>
      <c r="J48" s="111">
        <v>75</v>
      </c>
      <c r="K48" s="105">
        <f t="shared" si="24"/>
        <v>69.5</v>
      </c>
      <c r="L48" s="104">
        <v>90</v>
      </c>
      <c r="M48" s="105">
        <v>77</v>
      </c>
      <c r="N48" s="105">
        <v>351</v>
      </c>
      <c r="O48" s="105">
        <v>0</v>
      </c>
      <c r="P48" s="105">
        <v>8</v>
      </c>
      <c r="Q48" s="106">
        <v>270</v>
      </c>
      <c r="R48" s="113">
        <f t="shared" si="25"/>
        <v>0.1524250598358936</v>
      </c>
      <c r="S48" s="113">
        <f t="shared" si="26"/>
        <v>0.9623739524133058</v>
      </c>
      <c r="T48" s="113">
        <f t="shared" si="27"/>
        <v>-0.22218153358001858</v>
      </c>
      <c r="U48" s="114">
        <f t="shared" si="28"/>
        <v>80.99999999999999</v>
      </c>
      <c r="V48" s="149">
        <f t="shared" si="29"/>
        <v>-12.845289144406912</v>
      </c>
      <c r="W48" s="116">
        <f t="shared" si="41"/>
        <v>80.99999999999999</v>
      </c>
      <c r="X48" s="114">
        <f t="shared" si="30"/>
        <v>351</v>
      </c>
      <c r="Y48" s="117">
        <f t="shared" si="31"/>
        <v>77.1547108555931</v>
      </c>
      <c r="Z48" s="124">
        <f t="shared" si="32"/>
        <v>92.016660452942</v>
      </c>
      <c r="AA48" s="119">
        <f t="shared" si="33"/>
        <v>100.016660452942</v>
      </c>
      <c r="AB48" s="120">
        <f t="shared" si="34"/>
        <v>-0.17393453248246749</v>
      </c>
      <c r="AC48" s="120">
        <f t="shared" si="35"/>
        <v>0.2189304663958696</v>
      </c>
      <c r="AD48" s="120">
        <f t="shared" si="36"/>
        <v>0.9601126128188259</v>
      </c>
      <c r="AE48" s="121">
        <f t="shared" si="37"/>
        <v>119.46622339110002</v>
      </c>
      <c r="AF48" s="119">
        <f t="shared" si="38"/>
        <v>73.762854913682</v>
      </c>
      <c r="AG48" s="120">
        <f t="shared" si="39"/>
        <v>-5.086765674798824E-05</v>
      </c>
      <c r="AH48" s="104">
        <v>54</v>
      </c>
      <c r="AI48" s="105">
        <v>80</v>
      </c>
      <c r="AJ48" s="264">
        <v>229</v>
      </c>
      <c r="AK48" s="265">
        <v>-79.9</v>
      </c>
      <c r="AL48" s="250">
        <f>IF(AK48&gt;=0,IF(W48&gt;=AJ48,W48-AJ48,W48-AJ48+360),IF((W48-AJ48-180)&lt;0,IF(W48-AJ48+180&lt;0,W48-AJ48+540,W48-AJ48+180),W48-AJ48-180))</f>
        <v>32</v>
      </c>
      <c r="AM48" s="251">
        <f>IF(AL48-90&lt;0,AL48+270,AL48-90)</f>
        <v>302</v>
      </c>
      <c r="AN48" s="252">
        <f>Y48</f>
        <v>77.1547108555931</v>
      </c>
      <c r="AO48" s="253">
        <f>AA48</f>
        <v>100.016660452942</v>
      </c>
      <c r="AP48" s="254">
        <f>IF(AK48&gt;=0,IF(AE48&gt;=AJ48,AE48-AJ48,AE48-AJ48+360),IF((AE48-AJ48-180)&lt;0,IF(AE48-AJ48+180&lt;0,AE48-AJ48+540,AE48-AJ48+180),AE48-AJ48-180))</f>
        <v>70.46622339110002</v>
      </c>
      <c r="AQ48" s="253">
        <f>AF48</f>
        <v>73.762854913682</v>
      </c>
      <c r="AR48" s="127"/>
    </row>
    <row r="49" spans="1:45" ht="15">
      <c r="A49" s="104" t="s">
        <v>139</v>
      </c>
      <c r="B49" s="105" t="s">
        <v>138</v>
      </c>
      <c r="C49" s="105" t="s">
        <v>137</v>
      </c>
      <c r="D49" s="106">
        <v>1</v>
      </c>
      <c r="E49" s="181" t="s">
        <v>145</v>
      </c>
      <c r="F49" s="105">
        <f>504.5+(I49/100)</f>
        <v>504.95</v>
      </c>
      <c r="G49" s="105">
        <f>504.5+(J49/100)</f>
        <v>505</v>
      </c>
      <c r="H49" s="182">
        <f t="shared" si="23"/>
        <v>504.975</v>
      </c>
      <c r="I49" s="110">
        <v>45</v>
      </c>
      <c r="J49" s="111">
        <v>50</v>
      </c>
      <c r="K49" s="105">
        <f t="shared" si="24"/>
        <v>47.5</v>
      </c>
      <c r="L49" s="104">
        <v>270</v>
      </c>
      <c r="M49" s="105">
        <v>45</v>
      </c>
      <c r="N49" s="105">
        <v>0</v>
      </c>
      <c r="O49" s="105">
        <v>35</v>
      </c>
      <c r="P49" s="105"/>
      <c r="Q49" s="106"/>
      <c r="R49" s="113">
        <f t="shared" si="25"/>
        <v>-0.40557978767263886</v>
      </c>
      <c r="S49" s="113">
        <f t="shared" si="26"/>
        <v>0.5792279653395692</v>
      </c>
      <c r="T49" s="113">
        <f t="shared" si="27"/>
        <v>0.5792279653395692</v>
      </c>
      <c r="U49" s="114">
        <f t="shared" si="28"/>
        <v>125</v>
      </c>
      <c r="V49" s="149">
        <f t="shared" si="29"/>
        <v>39.32268990964004</v>
      </c>
      <c r="W49" s="116">
        <f t="shared" si="41"/>
        <v>305</v>
      </c>
      <c r="X49" s="114">
        <f t="shared" si="30"/>
        <v>215</v>
      </c>
      <c r="Y49" s="117">
        <f t="shared" si="31"/>
        <v>50.67731009035996</v>
      </c>
      <c r="Z49" s="124">
        <f t="shared" si="32"/>
        <v>66.0725352792411</v>
      </c>
      <c r="AA49" s="119">
        <f t="shared" si="33"/>
        <v>66.0725352792411</v>
      </c>
      <c r="AB49" s="120">
        <f t="shared" si="34"/>
        <v>0.40557978767263875</v>
      </c>
      <c r="AC49" s="120">
        <f t="shared" si="35"/>
        <v>0.5792279653395693</v>
      </c>
      <c r="AD49" s="120">
        <f t="shared" si="36"/>
        <v>0.7071067811865475</v>
      </c>
      <c r="AE49" s="121">
        <f t="shared" si="37"/>
        <v>270</v>
      </c>
      <c r="AF49" s="119">
        <f t="shared" si="38"/>
        <v>45</v>
      </c>
      <c r="AG49" s="120">
        <f t="shared" si="39"/>
        <v>8.73577398721578E-05</v>
      </c>
      <c r="AH49" s="104">
        <v>29</v>
      </c>
      <c r="AI49" s="105">
        <v>59</v>
      </c>
      <c r="AJ49" s="151">
        <v>287.3</v>
      </c>
      <c r="AK49" s="153">
        <v>65.6</v>
      </c>
      <c r="AL49" s="159">
        <f>IF(AK49&gt;=0,IF(W49&gt;=AJ49,W49-AJ49,W49-AJ49+360),IF((W49-AJ49-180)&lt;0,IF(W49-AJ49+180&lt;0,W49-AJ49+540,W49-AJ49+180),W49-AJ49-180))</f>
        <v>17.69999999999999</v>
      </c>
      <c r="AM49" s="149">
        <f>IF(AL49-90&lt;0,AL49+270,AL49-90)</f>
        <v>287.7</v>
      </c>
      <c r="AN49" s="115">
        <f>Y49</f>
        <v>50.67731009035996</v>
      </c>
      <c r="AO49" s="121"/>
      <c r="AP49" s="124"/>
      <c r="AQ49" s="121"/>
      <c r="AR49" s="127"/>
      <c r="AS49" s="91" t="s">
        <v>107</v>
      </c>
    </row>
    <row r="50" spans="1:44" ht="15">
      <c r="A50" s="104" t="s">
        <v>139</v>
      </c>
      <c r="B50" s="105" t="s">
        <v>138</v>
      </c>
      <c r="C50" s="105" t="s">
        <v>137</v>
      </c>
      <c r="D50" s="106">
        <v>2</v>
      </c>
      <c r="E50" s="181" t="s">
        <v>47</v>
      </c>
      <c r="F50" s="105">
        <f>505.675+(I50/100)</f>
        <v>506.995</v>
      </c>
      <c r="G50" s="105">
        <f>505.675+(J50/100)</f>
        <v>507.075</v>
      </c>
      <c r="H50" s="182">
        <f t="shared" si="23"/>
        <v>507.03499999999997</v>
      </c>
      <c r="I50" s="110">
        <v>132</v>
      </c>
      <c r="J50" s="111">
        <v>140</v>
      </c>
      <c r="K50" s="105">
        <f t="shared" si="24"/>
        <v>136</v>
      </c>
      <c r="L50" s="104">
        <v>270</v>
      </c>
      <c r="M50" s="105">
        <v>56</v>
      </c>
      <c r="N50" s="105">
        <v>350</v>
      </c>
      <c r="O50" s="105">
        <v>0</v>
      </c>
      <c r="P50" s="105">
        <v>5</v>
      </c>
      <c r="Q50" s="106">
        <v>90</v>
      </c>
      <c r="R50" s="113">
        <f t="shared" si="25"/>
        <v>0.14396086369159933</v>
      </c>
      <c r="S50" s="113">
        <f t="shared" si="26"/>
        <v>0.8164426289906259</v>
      </c>
      <c r="T50" s="113">
        <f t="shared" si="27"/>
        <v>0.5506975067673986</v>
      </c>
      <c r="U50" s="114">
        <f t="shared" si="28"/>
        <v>79.99999999999994</v>
      </c>
      <c r="V50" s="149">
        <f t="shared" si="29"/>
        <v>33.59454625084206</v>
      </c>
      <c r="W50" s="116">
        <f t="shared" si="41"/>
        <v>259.99999999999994</v>
      </c>
      <c r="X50" s="114">
        <f t="shared" si="30"/>
        <v>169.99999999999994</v>
      </c>
      <c r="Y50" s="117">
        <f t="shared" si="31"/>
        <v>56.40545374915794</v>
      </c>
      <c r="Z50" s="124">
        <f t="shared" si="32"/>
        <v>95.57236269929189</v>
      </c>
      <c r="AA50" s="119">
        <f t="shared" si="33"/>
        <v>90.57236269929189</v>
      </c>
      <c r="AB50" s="120">
        <f t="shared" si="34"/>
        <v>-0.009989447471187749</v>
      </c>
      <c r="AC50" s="120">
        <f t="shared" si="35"/>
        <v>0.5532846564513975</v>
      </c>
      <c r="AD50" s="120">
        <f t="shared" si="36"/>
        <v>0.8329323501189515</v>
      </c>
      <c r="AE50" s="121">
        <f t="shared" si="37"/>
        <v>261.0343518370032</v>
      </c>
      <c r="AF50" s="119">
        <f t="shared" si="38"/>
        <v>56.40115023776155</v>
      </c>
      <c r="AG50" s="120">
        <f t="shared" si="39"/>
        <v>-2.5344902990109154E-06</v>
      </c>
      <c r="AH50" s="104">
        <v>131</v>
      </c>
      <c r="AI50" s="105">
        <v>140</v>
      </c>
      <c r="AJ50" s="151"/>
      <c r="AK50" s="153"/>
      <c r="AL50" s="159"/>
      <c r="AM50" s="149"/>
      <c r="AN50" s="115"/>
      <c r="AO50" s="121"/>
      <c r="AP50" s="124"/>
      <c r="AQ50" s="121"/>
      <c r="AR50" s="127"/>
    </row>
    <row r="51" spans="1:44" ht="15">
      <c r="A51" s="104" t="s">
        <v>139</v>
      </c>
      <c r="B51" s="105" t="s">
        <v>138</v>
      </c>
      <c r="C51" s="105" t="s">
        <v>137</v>
      </c>
      <c r="D51" s="106">
        <v>5</v>
      </c>
      <c r="E51" s="181" t="s">
        <v>48</v>
      </c>
      <c r="F51" s="105">
        <f aca="true" t="shared" si="42" ref="F51:G54">509.285+(I51/100)</f>
        <v>509.565</v>
      </c>
      <c r="G51" s="105">
        <f t="shared" si="42"/>
        <v>509.565</v>
      </c>
      <c r="H51" s="182">
        <f t="shared" si="23"/>
        <v>509.565</v>
      </c>
      <c r="I51" s="110">
        <v>28</v>
      </c>
      <c r="J51" s="111">
        <v>28</v>
      </c>
      <c r="K51" s="105">
        <f t="shared" si="24"/>
        <v>28</v>
      </c>
      <c r="L51" s="104">
        <v>270</v>
      </c>
      <c r="M51" s="105">
        <v>4</v>
      </c>
      <c r="N51" s="105">
        <v>0</v>
      </c>
      <c r="O51" s="105">
        <v>13</v>
      </c>
      <c r="P51" s="105"/>
      <c r="Q51" s="106"/>
      <c r="R51" s="113">
        <f t="shared" si="25"/>
        <v>-0.2244030848814838</v>
      </c>
      <c r="S51" s="113">
        <f t="shared" si="26"/>
        <v>0.06796861984125298</v>
      </c>
      <c r="T51" s="113">
        <f t="shared" si="27"/>
        <v>0.9719965482790865</v>
      </c>
      <c r="U51" s="114">
        <f t="shared" si="28"/>
        <v>163.149158433115</v>
      </c>
      <c r="V51" s="149">
        <f t="shared" si="29"/>
        <v>76.43787781462116</v>
      </c>
      <c r="W51" s="116">
        <f t="shared" si="41"/>
        <v>343.14915843311496</v>
      </c>
      <c r="X51" s="114">
        <f t="shared" si="30"/>
        <v>253.14915843311496</v>
      </c>
      <c r="Y51" s="117">
        <f t="shared" si="31"/>
        <v>13.56212218537884</v>
      </c>
      <c r="Z51" s="124">
        <f t="shared" si="32"/>
        <v>17.305684552280383</v>
      </c>
      <c r="AA51" s="119">
        <f t="shared" si="33"/>
        <v>17.305684552280383</v>
      </c>
      <c r="AB51" s="120">
        <f t="shared" si="34"/>
        <v>0.9547312910072852</v>
      </c>
      <c r="AC51" s="120">
        <f t="shared" si="35"/>
        <v>0.28917502717618554</v>
      </c>
      <c r="AD51" s="120">
        <f t="shared" si="36"/>
        <v>0.06975647374412543</v>
      </c>
      <c r="AE51" s="121">
        <f t="shared" si="37"/>
        <v>270</v>
      </c>
      <c r="AF51" s="119">
        <f t="shared" si="38"/>
        <v>4.000000000000007</v>
      </c>
      <c r="AG51" s="120">
        <f t="shared" si="39"/>
        <v>2.0286176744070766E-05</v>
      </c>
      <c r="AH51" s="104"/>
      <c r="AI51" s="105"/>
      <c r="AJ51" s="151"/>
      <c r="AK51" s="153"/>
      <c r="AL51" s="159"/>
      <c r="AM51" s="149"/>
      <c r="AN51" s="115"/>
      <c r="AO51" s="121"/>
      <c r="AP51" s="124"/>
      <c r="AQ51" s="121"/>
      <c r="AR51" s="127"/>
    </row>
    <row r="52" spans="1:44" ht="15">
      <c r="A52" s="104" t="s">
        <v>139</v>
      </c>
      <c r="B52" s="105" t="s">
        <v>138</v>
      </c>
      <c r="C52" s="105" t="s">
        <v>137</v>
      </c>
      <c r="D52" s="106">
        <v>5</v>
      </c>
      <c r="E52" s="181" t="s">
        <v>145</v>
      </c>
      <c r="F52" s="105">
        <f t="shared" si="42"/>
        <v>509.475</v>
      </c>
      <c r="G52" s="105">
        <f t="shared" si="42"/>
        <v>509.70500000000004</v>
      </c>
      <c r="H52" s="182">
        <f t="shared" si="23"/>
        <v>509.59000000000003</v>
      </c>
      <c r="I52" s="110">
        <v>19</v>
      </c>
      <c r="J52" s="111">
        <v>42</v>
      </c>
      <c r="K52" s="105">
        <f t="shared" si="24"/>
        <v>30.5</v>
      </c>
      <c r="L52" s="104">
        <v>90</v>
      </c>
      <c r="M52" s="105">
        <v>72</v>
      </c>
      <c r="N52" s="105">
        <v>43</v>
      </c>
      <c r="O52" s="105">
        <v>0</v>
      </c>
      <c r="P52" s="105"/>
      <c r="Q52" s="106"/>
      <c r="R52" s="113">
        <f t="shared" si="25"/>
        <v>-0.6486189844400476</v>
      </c>
      <c r="S52" s="113">
        <f t="shared" si="26"/>
        <v>0.6955587036414935</v>
      </c>
      <c r="T52" s="113">
        <f t="shared" si="27"/>
        <v>-0.22600072269934823</v>
      </c>
      <c r="U52" s="114">
        <f t="shared" si="28"/>
        <v>133</v>
      </c>
      <c r="V52" s="149">
        <f t="shared" si="29"/>
        <v>-13.367335287870917</v>
      </c>
      <c r="W52" s="116">
        <f t="shared" si="41"/>
        <v>133</v>
      </c>
      <c r="X52" s="114">
        <f t="shared" si="30"/>
        <v>43</v>
      </c>
      <c r="Y52" s="117">
        <f t="shared" si="31"/>
        <v>76.63266471212908</v>
      </c>
      <c r="Z52" s="124">
        <f t="shared" si="32"/>
        <v>77.83374595252211</v>
      </c>
      <c r="AA52" s="119">
        <f t="shared" si="33"/>
        <v>77.83374595252211</v>
      </c>
      <c r="AB52" s="120">
        <f t="shared" si="34"/>
        <v>0.21074908339515627</v>
      </c>
      <c r="AC52" s="120">
        <f t="shared" si="35"/>
        <v>0.22600072269934823</v>
      </c>
      <c r="AD52" s="120">
        <f t="shared" si="36"/>
        <v>0.9510565162951535</v>
      </c>
      <c r="AE52" s="121">
        <f t="shared" si="37"/>
        <v>90.00000000000003</v>
      </c>
      <c r="AF52" s="119">
        <f t="shared" si="38"/>
        <v>72</v>
      </c>
      <c r="AG52" s="120">
        <f t="shared" si="39"/>
        <v>6.105283456682407E-05</v>
      </c>
      <c r="AH52" s="104">
        <v>0</v>
      </c>
      <c r="AI52" s="105">
        <v>43</v>
      </c>
      <c r="AJ52" s="151"/>
      <c r="AK52" s="153"/>
      <c r="AL52" s="159"/>
      <c r="AM52" s="149"/>
      <c r="AN52" s="115"/>
      <c r="AO52" s="121"/>
      <c r="AP52" s="124"/>
      <c r="AQ52" s="121"/>
      <c r="AR52" s="127"/>
    </row>
    <row r="53" spans="1:45" ht="15">
      <c r="A53" s="104" t="s">
        <v>139</v>
      </c>
      <c r="B53" s="105" t="s">
        <v>138</v>
      </c>
      <c r="C53" s="105" t="s">
        <v>137</v>
      </c>
      <c r="D53" s="106">
        <v>5</v>
      </c>
      <c r="E53" s="181" t="s">
        <v>174</v>
      </c>
      <c r="F53" s="105">
        <f t="shared" si="42"/>
        <v>509.82500000000005</v>
      </c>
      <c r="G53" s="105">
        <f t="shared" si="42"/>
        <v>509.865</v>
      </c>
      <c r="H53" s="182">
        <f t="shared" si="23"/>
        <v>509.845</v>
      </c>
      <c r="I53" s="110">
        <v>54</v>
      </c>
      <c r="J53" s="111">
        <v>58</v>
      </c>
      <c r="K53" s="105">
        <f t="shared" si="24"/>
        <v>56</v>
      </c>
      <c r="L53" s="104">
        <v>270</v>
      </c>
      <c r="M53" s="105">
        <v>18</v>
      </c>
      <c r="N53" s="105">
        <v>58</v>
      </c>
      <c r="O53" s="105">
        <v>0</v>
      </c>
      <c r="P53" s="105"/>
      <c r="Q53" s="106"/>
      <c r="R53" s="113">
        <f t="shared" si="25"/>
        <v>-0.26206127375965516</v>
      </c>
      <c r="S53" s="113">
        <f t="shared" si="26"/>
        <v>0.16375405829472856</v>
      </c>
      <c r="T53" s="113">
        <f t="shared" si="27"/>
        <v>0.5039831693593227</v>
      </c>
      <c r="U53" s="114">
        <f t="shared" si="28"/>
        <v>148</v>
      </c>
      <c r="V53" s="149">
        <f t="shared" si="29"/>
        <v>58.485479899601685</v>
      </c>
      <c r="W53" s="116">
        <f t="shared" si="41"/>
        <v>328</v>
      </c>
      <c r="X53" s="114">
        <f t="shared" si="30"/>
        <v>238</v>
      </c>
      <c r="Y53" s="117">
        <f t="shared" si="31"/>
        <v>31.514520100398315</v>
      </c>
      <c r="Z53" s="124">
        <f t="shared" si="32"/>
        <v>36.24059382196734</v>
      </c>
      <c r="AA53" s="119">
        <f t="shared" si="33"/>
        <v>36.24059382196734</v>
      </c>
      <c r="AB53" s="120">
        <f t="shared" si="34"/>
        <v>0.8065416679812681</v>
      </c>
      <c r="AC53" s="120">
        <f t="shared" si="35"/>
        <v>0.5039831693593225</v>
      </c>
      <c r="AD53" s="120">
        <f t="shared" si="36"/>
        <v>0.3090169943749473</v>
      </c>
      <c r="AE53" s="121">
        <f t="shared" si="37"/>
        <v>270</v>
      </c>
      <c r="AF53" s="119">
        <f t="shared" si="38"/>
        <v>17.999999999999993</v>
      </c>
      <c r="AG53" s="120">
        <f t="shared" si="39"/>
        <v>7.591847220400948E-05</v>
      </c>
      <c r="AH53" s="104"/>
      <c r="AI53" s="105"/>
      <c r="AJ53" s="151"/>
      <c r="AK53" s="153"/>
      <c r="AL53" s="159"/>
      <c r="AM53" s="149"/>
      <c r="AN53" s="115"/>
      <c r="AO53" s="121"/>
      <c r="AP53" s="124"/>
      <c r="AQ53" s="121"/>
      <c r="AR53" s="127"/>
      <c r="AS53" s="91" t="s">
        <v>136</v>
      </c>
    </row>
    <row r="54" spans="1:44" ht="15">
      <c r="A54" s="104" t="s">
        <v>139</v>
      </c>
      <c r="B54" s="105" t="s">
        <v>138</v>
      </c>
      <c r="C54" s="105" t="s">
        <v>137</v>
      </c>
      <c r="D54" s="106">
        <v>5</v>
      </c>
      <c r="E54" s="181" t="s">
        <v>47</v>
      </c>
      <c r="F54" s="105">
        <f t="shared" si="42"/>
        <v>510.245</v>
      </c>
      <c r="G54" s="105">
        <f t="shared" si="42"/>
        <v>510.32500000000005</v>
      </c>
      <c r="H54" s="182">
        <f t="shared" si="23"/>
        <v>510.285</v>
      </c>
      <c r="I54" s="110">
        <v>96</v>
      </c>
      <c r="J54" s="111">
        <v>104</v>
      </c>
      <c r="K54" s="105">
        <f t="shared" si="24"/>
        <v>100</v>
      </c>
      <c r="L54" s="104">
        <v>270</v>
      </c>
      <c r="M54" s="105">
        <v>21</v>
      </c>
      <c r="N54" s="105">
        <v>308</v>
      </c>
      <c r="O54" s="105">
        <v>0</v>
      </c>
      <c r="P54" s="105"/>
      <c r="Q54" s="106"/>
      <c r="R54" s="113">
        <f t="shared" si="25"/>
        <v>0.2823977979896877</v>
      </c>
      <c r="S54" s="113">
        <f t="shared" si="26"/>
        <v>0.22063334052649072</v>
      </c>
      <c r="T54" s="113">
        <f t="shared" si="27"/>
        <v>0.5747695027124249</v>
      </c>
      <c r="U54" s="114">
        <f t="shared" si="28"/>
        <v>38.000000000000014</v>
      </c>
      <c r="V54" s="149">
        <f t="shared" si="29"/>
        <v>58.0565206143928</v>
      </c>
      <c r="W54" s="116">
        <f t="shared" si="41"/>
        <v>218</v>
      </c>
      <c r="X54" s="114">
        <f t="shared" si="30"/>
        <v>128</v>
      </c>
      <c r="Y54" s="117">
        <f t="shared" si="31"/>
        <v>31.943479385607198</v>
      </c>
      <c r="Z54" s="124">
        <f t="shared" si="32"/>
        <v>137.3639803162839</v>
      </c>
      <c r="AA54" s="119">
        <f t="shared" si="33"/>
        <v>137.3639803162839</v>
      </c>
      <c r="AB54" s="120">
        <f t="shared" si="34"/>
        <v>-0.7356714154365449</v>
      </c>
      <c r="AC54" s="120">
        <f t="shared" si="35"/>
        <v>0.5747695027124244</v>
      </c>
      <c r="AD54" s="120">
        <f t="shared" si="36"/>
        <v>0.3583679495453</v>
      </c>
      <c r="AE54" s="121">
        <f t="shared" si="37"/>
        <v>270</v>
      </c>
      <c r="AF54" s="119">
        <f t="shared" si="38"/>
        <v>20.999999999999982</v>
      </c>
      <c r="AG54" s="120">
        <f t="shared" si="39"/>
        <v>-8.030692815764734E-05</v>
      </c>
      <c r="AH54" s="104">
        <v>85</v>
      </c>
      <c r="AI54" s="105">
        <v>101</v>
      </c>
      <c r="AJ54" s="151">
        <v>352.5</v>
      </c>
      <c r="AK54" s="153">
        <v>58.9</v>
      </c>
      <c r="AL54" s="159">
        <f>IF(AK54&gt;=0,IF(W54&gt;=AJ54,W54-AJ54,W54-AJ54+360),IF((W54-AJ54-180)&lt;0,IF(W54-AJ54+180&lt;0,W54-AJ54+540,W54-AJ54+180),W54-AJ54-180))</f>
        <v>225.5</v>
      </c>
      <c r="AM54" s="149">
        <f>IF(AL54-90&lt;0,AL54+270,AL54-90)</f>
        <v>135.5</v>
      </c>
      <c r="AN54" s="115">
        <f>Y54</f>
        <v>31.943479385607198</v>
      </c>
      <c r="AO54" s="121"/>
      <c r="AP54" s="124"/>
      <c r="AQ54" s="121"/>
      <c r="AR54" s="127"/>
    </row>
    <row r="55" spans="1:44" ht="15">
      <c r="A55" s="104" t="s">
        <v>139</v>
      </c>
      <c r="B55" s="105" t="s">
        <v>138</v>
      </c>
      <c r="C55" s="105" t="s">
        <v>137</v>
      </c>
      <c r="D55" s="106">
        <v>6</v>
      </c>
      <c r="E55" s="181" t="s">
        <v>174</v>
      </c>
      <c r="F55" s="105">
        <f>510.39+(I55/100)</f>
        <v>510.41999999999996</v>
      </c>
      <c r="G55" s="105">
        <f>510.39+(J55/100)</f>
        <v>510.55</v>
      </c>
      <c r="H55" s="182">
        <f t="shared" si="23"/>
        <v>510.485</v>
      </c>
      <c r="I55" s="110">
        <v>3</v>
      </c>
      <c r="J55" s="111">
        <v>16</v>
      </c>
      <c r="K55" s="105">
        <f t="shared" si="24"/>
        <v>9.5</v>
      </c>
      <c r="L55" s="104">
        <v>270</v>
      </c>
      <c r="M55" s="105">
        <v>67</v>
      </c>
      <c r="N55" s="105">
        <v>310</v>
      </c>
      <c r="O55" s="105">
        <v>0</v>
      </c>
      <c r="P55" s="105"/>
      <c r="Q55" s="106"/>
      <c r="R55" s="113">
        <f t="shared" si="25"/>
        <v>0.7051476278512911</v>
      </c>
      <c r="S55" s="113">
        <f t="shared" si="26"/>
        <v>0.5916891144555522</v>
      </c>
      <c r="T55" s="113">
        <f t="shared" si="27"/>
        <v>0.2511571281117445</v>
      </c>
      <c r="U55" s="114">
        <f t="shared" si="28"/>
        <v>39.99999999999999</v>
      </c>
      <c r="V55" s="149">
        <f t="shared" si="29"/>
        <v>15.261511593826183</v>
      </c>
      <c r="W55" s="116">
        <f t="shared" si="41"/>
        <v>220</v>
      </c>
      <c r="X55" s="114">
        <f t="shared" si="30"/>
        <v>130</v>
      </c>
      <c r="Y55" s="117">
        <f t="shared" si="31"/>
        <v>74.73848840617381</v>
      </c>
      <c r="Z55" s="124">
        <f t="shared" si="32"/>
        <v>107.41660979279636</v>
      </c>
      <c r="AA55" s="119">
        <f t="shared" si="33"/>
        <v>107.41660979279636</v>
      </c>
      <c r="AB55" s="120">
        <f t="shared" si="34"/>
        <v>-0.29931740973281545</v>
      </c>
      <c r="AC55" s="120">
        <f t="shared" si="35"/>
        <v>0.2511571281117446</v>
      </c>
      <c r="AD55" s="120">
        <f t="shared" si="36"/>
        <v>0.9205048534524403</v>
      </c>
      <c r="AE55" s="121">
        <f t="shared" si="37"/>
        <v>269.99999999999994</v>
      </c>
      <c r="AF55" s="119">
        <f t="shared" si="38"/>
        <v>66.99999999999999</v>
      </c>
      <c r="AG55" s="120">
        <f t="shared" si="39"/>
        <v>-8.392515226261825E-05</v>
      </c>
      <c r="AH55" s="104">
        <v>5</v>
      </c>
      <c r="AI55" s="105">
        <v>23</v>
      </c>
      <c r="AJ55" s="151">
        <v>55.9</v>
      </c>
      <c r="AK55" s="153">
        <v>73.5</v>
      </c>
      <c r="AL55" s="159">
        <f>IF(AK55&gt;=0,IF(W55&gt;=AJ55,W55-AJ55,W55-AJ55+360),IF((W55-AJ55-180)&lt;0,IF(W55-AJ55+180&lt;0,W55-AJ55+540,W55-AJ55+180),W55-AJ55-180))</f>
        <v>164.1</v>
      </c>
      <c r="AM55" s="149">
        <f>IF(AL55-90&lt;0,AL55+270,AL55-90)</f>
        <v>74.1</v>
      </c>
      <c r="AN55" s="115">
        <f>Y55</f>
        <v>74.73848840617381</v>
      </c>
      <c r="AO55" s="121"/>
      <c r="AP55" s="124"/>
      <c r="AQ55" s="121"/>
      <c r="AR55" s="127"/>
    </row>
    <row r="56" spans="1:44" ht="15">
      <c r="A56" s="104" t="s">
        <v>139</v>
      </c>
      <c r="B56" s="105" t="s">
        <v>138</v>
      </c>
      <c r="C56" s="105" t="s">
        <v>137</v>
      </c>
      <c r="D56" s="106">
        <v>6</v>
      </c>
      <c r="E56" s="181" t="s">
        <v>174</v>
      </c>
      <c r="F56" s="105">
        <f>510.39+(I56/100)</f>
        <v>510.46999999999997</v>
      </c>
      <c r="G56" s="105">
        <f>510.39+(J56/100)</f>
        <v>510.59999999999997</v>
      </c>
      <c r="H56" s="182">
        <f t="shared" si="23"/>
        <v>510.53499999999997</v>
      </c>
      <c r="I56" s="110">
        <v>8</v>
      </c>
      <c r="J56" s="111">
        <v>21</v>
      </c>
      <c r="K56" s="105">
        <f t="shared" si="24"/>
        <v>14.5</v>
      </c>
      <c r="L56" s="104">
        <v>270</v>
      </c>
      <c r="M56" s="105">
        <v>78</v>
      </c>
      <c r="N56" s="105">
        <v>348</v>
      </c>
      <c r="O56" s="105">
        <v>0</v>
      </c>
      <c r="P56" s="105"/>
      <c r="Q56" s="106"/>
      <c r="R56" s="113">
        <f t="shared" si="25"/>
        <v>0.2033683215379006</v>
      </c>
      <c r="S56" s="113">
        <f t="shared" si="26"/>
        <v>0.9567727288213004</v>
      </c>
      <c r="T56" s="113">
        <f t="shared" si="27"/>
        <v>0.20336832153790022</v>
      </c>
      <c r="U56" s="114">
        <f t="shared" si="28"/>
        <v>77.99999999999997</v>
      </c>
      <c r="V56" s="149">
        <f t="shared" si="29"/>
        <v>11.745133569755238</v>
      </c>
      <c r="W56" s="116">
        <f t="shared" si="41"/>
        <v>258</v>
      </c>
      <c r="X56" s="114">
        <f t="shared" si="30"/>
        <v>168</v>
      </c>
      <c r="Y56" s="117">
        <f t="shared" si="31"/>
        <v>78.25486643024476</v>
      </c>
      <c r="Z56" s="124">
        <f t="shared" si="32"/>
        <v>92.47751218592992</v>
      </c>
      <c r="AA56" s="119">
        <f t="shared" si="33"/>
        <v>92.47751218592992</v>
      </c>
      <c r="AB56" s="120">
        <f t="shared" si="34"/>
        <v>-0.04322727117869959</v>
      </c>
      <c r="AC56" s="120">
        <f t="shared" si="35"/>
        <v>0.20336832153790027</v>
      </c>
      <c r="AD56" s="120">
        <f t="shared" si="36"/>
        <v>0.9781476007338056</v>
      </c>
      <c r="AE56" s="121">
        <f t="shared" si="37"/>
        <v>270</v>
      </c>
      <c r="AF56" s="119">
        <f t="shared" si="38"/>
        <v>77.99999999999999</v>
      </c>
      <c r="AG56" s="120">
        <f t="shared" si="39"/>
        <v>-1.2879405369481956E-05</v>
      </c>
      <c r="AH56" s="104"/>
      <c r="AI56" s="105"/>
      <c r="AJ56" s="151"/>
      <c r="AK56" s="153"/>
      <c r="AL56" s="159"/>
      <c r="AM56" s="149"/>
      <c r="AN56" s="115"/>
      <c r="AO56" s="121"/>
      <c r="AP56" s="124"/>
      <c r="AQ56" s="121"/>
      <c r="AR56" s="127"/>
    </row>
    <row r="57" spans="1:44" ht="15">
      <c r="A57" s="104" t="s">
        <v>139</v>
      </c>
      <c r="B57" s="105" t="s">
        <v>138</v>
      </c>
      <c r="C57" s="105" t="s">
        <v>137</v>
      </c>
      <c r="D57" s="106">
        <v>7</v>
      </c>
      <c r="E57" s="181" t="s">
        <v>47</v>
      </c>
      <c r="F57" s="105">
        <f>510.62+(I57/100)</f>
        <v>510.77</v>
      </c>
      <c r="G57" s="105">
        <f>510.62+(J57/100)</f>
        <v>510.81</v>
      </c>
      <c r="H57" s="182">
        <f t="shared" si="23"/>
        <v>510.78999999999996</v>
      </c>
      <c r="I57" s="110">
        <v>15</v>
      </c>
      <c r="J57" s="111">
        <v>19</v>
      </c>
      <c r="K57" s="105">
        <f t="shared" si="24"/>
        <v>17</v>
      </c>
      <c r="L57" s="104">
        <v>270</v>
      </c>
      <c r="M57" s="105">
        <v>54</v>
      </c>
      <c r="N57" s="105">
        <v>4</v>
      </c>
      <c r="O57" s="105">
        <v>0</v>
      </c>
      <c r="P57" s="105"/>
      <c r="Q57" s="106"/>
      <c r="R57" s="113">
        <f t="shared" si="25"/>
        <v>-0.05643417272666719</v>
      </c>
      <c r="S57" s="113">
        <f t="shared" si="26"/>
        <v>0.807046269637702</v>
      </c>
      <c r="T57" s="113">
        <f t="shared" si="27"/>
        <v>0.5863534369598721</v>
      </c>
      <c r="U57" s="114">
        <f t="shared" si="28"/>
        <v>93.99999999999999</v>
      </c>
      <c r="V57" s="149">
        <f t="shared" si="29"/>
        <v>35.93357481887902</v>
      </c>
      <c r="W57" s="116">
        <f t="shared" si="41"/>
        <v>274</v>
      </c>
      <c r="X57" s="114">
        <f t="shared" si="30"/>
        <v>184</v>
      </c>
      <c r="Y57" s="117">
        <f t="shared" si="31"/>
        <v>54.06642518112098</v>
      </c>
      <c r="Z57" s="124">
        <f t="shared" si="32"/>
        <v>87.65010965465069</v>
      </c>
      <c r="AA57" s="119">
        <f t="shared" si="33"/>
        <v>87.65010965465069</v>
      </c>
      <c r="AB57" s="120">
        <f t="shared" si="34"/>
        <v>0.04100182651872369</v>
      </c>
      <c r="AC57" s="120">
        <f t="shared" si="35"/>
        <v>0.5863534369598723</v>
      </c>
      <c r="AD57" s="120">
        <f t="shared" si="36"/>
        <v>0.8090169943749473</v>
      </c>
      <c r="AE57" s="121">
        <f t="shared" si="37"/>
        <v>270</v>
      </c>
      <c r="AF57" s="119">
        <f t="shared" si="38"/>
        <v>54</v>
      </c>
      <c r="AG57" s="120">
        <f t="shared" si="39"/>
        <v>1.0104180950257521E-05</v>
      </c>
      <c r="AH57" s="104">
        <v>6</v>
      </c>
      <c r="AI57" s="105">
        <v>22</v>
      </c>
      <c r="AJ57" s="151">
        <v>308.9</v>
      </c>
      <c r="AK57" s="153">
        <v>53.3</v>
      </c>
      <c r="AL57" s="159">
        <f>IF(AK57&gt;=0,IF(W57&gt;=AJ57,W57-AJ57,W57-AJ57+360),IF((W57-AJ57-180)&lt;0,IF(W57-AJ57+180&lt;0,W57-AJ57+540,W57-AJ57+180),W57-AJ57-180))</f>
        <v>325.1</v>
      </c>
      <c r="AM57" s="149">
        <f>IF(AL57-90&lt;0,AL57+270,AL57-90)</f>
        <v>235.10000000000002</v>
      </c>
      <c r="AN57" s="115">
        <f>Y57</f>
        <v>54.06642518112098</v>
      </c>
      <c r="AO57" s="121"/>
      <c r="AP57" s="124"/>
      <c r="AQ57" s="121"/>
      <c r="AR57" s="127"/>
    </row>
    <row r="58" spans="1:44" ht="15">
      <c r="A58" s="104" t="s">
        <v>139</v>
      </c>
      <c r="B58" s="105" t="s">
        <v>138</v>
      </c>
      <c r="C58" s="105" t="s">
        <v>137</v>
      </c>
      <c r="D58" s="106">
        <v>7</v>
      </c>
      <c r="E58" s="181" t="s">
        <v>47</v>
      </c>
      <c r="F58" s="105">
        <f>510.62+(I58/100)</f>
        <v>510.8</v>
      </c>
      <c r="G58" s="105">
        <f>510.62+(J58/100)</f>
        <v>510.82</v>
      </c>
      <c r="H58" s="182">
        <f t="shared" si="23"/>
        <v>510.81</v>
      </c>
      <c r="I58" s="110">
        <v>18</v>
      </c>
      <c r="J58" s="111">
        <v>20</v>
      </c>
      <c r="K58" s="105">
        <f t="shared" si="24"/>
        <v>19</v>
      </c>
      <c r="L58" s="104">
        <v>90</v>
      </c>
      <c r="M58" s="105">
        <v>24</v>
      </c>
      <c r="N58" s="105">
        <v>0</v>
      </c>
      <c r="O58" s="105">
        <v>4</v>
      </c>
      <c r="P58" s="105"/>
      <c r="Q58" s="106"/>
      <c r="R58" s="113">
        <f t="shared" si="25"/>
        <v>0.06372570973011102</v>
      </c>
      <c r="S58" s="113">
        <f t="shared" si="26"/>
        <v>0.4057458530557797</v>
      </c>
      <c r="T58" s="113">
        <f t="shared" si="27"/>
        <v>-0.9113201068224176</v>
      </c>
      <c r="U58" s="114">
        <f t="shared" si="28"/>
        <v>81.0741440641973</v>
      </c>
      <c r="V58" s="149">
        <f t="shared" si="29"/>
        <v>-65.73955221660812</v>
      </c>
      <c r="W58" s="116">
        <f t="shared" si="41"/>
        <v>81.0741440641973</v>
      </c>
      <c r="X58" s="114">
        <f t="shared" si="30"/>
        <v>351.0741440641973</v>
      </c>
      <c r="Y58" s="117">
        <f t="shared" si="31"/>
        <v>24.260447783391882</v>
      </c>
      <c r="Z58" s="124">
        <f t="shared" si="32"/>
        <v>98.14867527057358</v>
      </c>
      <c r="AA58" s="119">
        <f t="shared" si="33"/>
        <v>98.14867527057358</v>
      </c>
      <c r="AB58" s="120">
        <f t="shared" si="34"/>
        <v>-0.14174224938719068</v>
      </c>
      <c r="AC58" s="120">
        <f t="shared" si="35"/>
        <v>0.9024823754057962</v>
      </c>
      <c r="AD58" s="120">
        <f t="shared" si="36"/>
        <v>0.40673664307580015</v>
      </c>
      <c r="AE58" s="121">
        <f t="shared" si="37"/>
        <v>89.99999999999999</v>
      </c>
      <c r="AF58" s="119">
        <f t="shared" si="38"/>
        <v>24</v>
      </c>
      <c r="AG58" s="120">
        <f t="shared" si="39"/>
        <v>-1.7561567003255698E-05</v>
      </c>
      <c r="AH58" s="104"/>
      <c r="AI58" s="105"/>
      <c r="AJ58" s="125"/>
      <c r="AK58" s="179"/>
      <c r="AL58" s="116"/>
      <c r="AM58" s="114"/>
      <c r="AN58" s="117"/>
      <c r="AO58" s="121"/>
      <c r="AP58" s="124"/>
      <c r="AQ58" s="121"/>
      <c r="AR58" s="127"/>
    </row>
    <row r="59" spans="1:45" ht="15">
      <c r="A59" s="104" t="s">
        <v>139</v>
      </c>
      <c r="B59" s="105" t="s">
        <v>138</v>
      </c>
      <c r="C59" s="105" t="s">
        <v>137</v>
      </c>
      <c r="D59" s="106">
        <v>8</v>
      </c>
      <c r="E59" s="181" t="s">
        <v>174</v>
      </c>
      <c r="F59" s="105">
        <f aca="true" t="shared" si="43" ref="F59:G62">512.03+(I59/100)</f>
        <v>512.36</v>
      </c>
      <c r="G59" s="105">
        <f t="shared" si="43"/>
        <v>512.51</v>
      </c>
      <c r="H59" s="182">
        <f t="shared" si="23"/>
        <v>512.435</v>
      </c>
      <c r="I59" s="110">
        <v>33</v>
      </c>
      <c r="J59" s="111">
        <v>48</v>
      </c>
      <c r="K59" s="105">
        <f t="shared" si="24"/>
        <v>40.5</v>
      </c>
      <c r="L59" s="104">
        <v>270</v>
      </c>
      <c r="M59" s="105">
        <v>8</v>
      </c>
      <c r="N59" s="105">
        <v>292</v>
      </c>
      <c r="O59" s="105">
        <v>0</v>
      </c>
      <c r="P59" s="105"/>
      <c r="Q59" s="106"/>
      <c r="R59" s="113">
        <f t="shared" si="25"/>
        <v>0.12903905220016615</v>
      </c>
      <c r="S59" s="113">
        <f t="shared" si="26"/>
        <v>0.0521351612457789</v>
      </c>
      <c r="T59" s="113">
        <f t="shared" si="27"/>
        <v>0.37096094779983396</v>
      </c>
      <c r="U59" s="114">
        <f t="shared" si="28"/>
        <v>21.999999999999993</v>
      </c>
      <c r="V59" s="149">
        <f t="shared" si="29"/>
        <v>69.4354588640567</v>
      </c>
      <c r="W59" s="116">
        <f t="shared" si="41"/>
        <v>202</v>
      </c>
      <c r="X59" s="114">
        <f t="shared" si="30"/>
        <v>112</v>
      </c>
      <c r="Y59" s="117">
        <f t="shared" si="31"/>
        <v>20.5645411359433</v>
      </c>
      <c r="Z59" s="124">
        <f t="shared" si="32"/>
        <v>156.65863344512618</v>
      </c>
      <c r="AA59" s="119">
        <f t="shared" si="33"/>
        <v>156.65863344512618</v>
      </c>
      <c r="AB59" s="120">
        <f t="shared" si="34"/>
        <v>-0.9181605650302177</v>
      </c>
      <c r="AC59" s="120">
        <f t="shared" si="35"/>
        <v>0.3709609477998336</v>
      </c>
      <c r="AD59" s="120">
        <f t="shared" si="36"/>
        <v>0.13917310096006533</v>
      </c>
      <c r="AE59" s="121">
        <f t="shared" si="37"/>
        <v>270</v>
      </c>
      <c r="AF59" s="119">
        <f t="shared" si="38"/>
        <v>7.999999999999995</v>
      </c>
      <c r="AG59" s="120">
        <f t="shared" si="39"/>
        <v>-3.892330059218952E-05</v>
      </c>
      <c r="AH59" s="104">
        <v>31</v>
      </c>
      <c r="AI59" s="105">
        <v>44</v>
      </c>
      <c r="AJ59" s="125"/>
      <c r="AK59" s="179"/>
      <c r="AL59" s="116"/>
      <c r="AM59" s="114"/>
      <c r="AN59" s="117"/>
      <c r="AO59" s="121"/>
      <c r="AP59" s="124"/>
      <c r="AQ59" s="121"/>
      <c r="AR59" s="127"/>
      <c r="AS59" s="91" t="s">
        <v>136</v>
      </c>
    </row>
    <row r="60" spans="1:44" ht="15">
      <c r="A60" s="104" t="s">
        <v>139</v>
      </c>
      <c r="B60" s="105" t="s">
        <v>138</v>
      </c>
      <c r="C60" s="105" t="s">
        <v>137</v>
      </c>
      <c r="D60" s="106">
        <v>8</v>
      </c>
      <c r="E60" s="181" t="s">
        <v>172</v>
      </c>
      <c r="F60" s="105">
        <f t="shared" si="43"/>
        <v>512.87</v>
      </c>
      <c r="G60" s="105">
        <f t="shared" si="43"/>
        <v>512.89</v>
      </c>
      <c r="H60" s="182">
        <f t="shared" si="23"/>
        <v>512.88</v>
      </c>
      <c r="I60" s="110">
        <v>84</v>
      </c>
      <c r="J60" s="111">
        <v>86</v>
      </c>
      <c r="K60" s="105">
        <f t="shared" si="24"/>
        <v>85</v>
      </c>
      <c r="L60" s="104">
        <v>0</v>
      </c>
      <c r="M60" s="105">
        <v>11</v>
      </c>
      <c r="N60" s="105">
        <v>64</v>
      </c>
      <c r="O60" s="105">
        <v>0</v>
      </c>
      <c r="P60" s="105"/>
      <c r="Q60" s="106"/>
      <c r="R60" s="113">
        <f t="shared" si="25"/>
        <v>-0.17149798902476376</v>
      </c>
      <c r="S60" s="113">
        <f t="shared" si="26"/>
        <v>0.08364515812088773</v>
      </c>
      <c r="T60" s="113">
        <f t="shared" si="27"/>
        <v>0.8822806681681806</v>
      </c>
      <c r="U60" s="114">
        <f t="shared" si="28"/>
        <v>154</v>
      </c>
      <c r="V60" s="149">
        <f t="shared" si="29"/>
        <v>77.7967017946132</v>
      </c>
      <c r="W60" s="116">
        <f t="shared" si="41"/>
        <v>334</v>
      </c>
      <c r="X60" s="114">
        <f t="shared" si="30"/>
        <v>244</v>
      </c>
      <c r="Y60" s="117">
        <f t="shared" si="31"/>
        <v>12.203298205386801</v>
      </c>
      <c r="Z60" s="124">
        <f t="shared" si="32"/>
        <v>26.51957771532605</v>
      </c>
      <c r="AA60" s="119">
        <f t="shared" si="33"/>
        <v>26.51957771532605</v>
      </c>
      <c r="AB60" s="120">
        <f t="shared" si="34"/>
        <v>0.8947818455344649</v>
      </c>
      <c r="AC60" s="120">
        <f t="shared" si="35"/>
        <v>0.43641426572426356</v>
      </c>
      <c r="AD60" s="120">
        <f t="shared" si="36"/>
        <v>0.09438240076565511</v>
      </c>
      <c r="AE60" s="121">
        <f t="shared" si="37"/>
        <v>270</v>
      </c>
      <c r="AF60" s="119">
        <f t="shared" si="38"/>
        <v>5.415774265234069</v>
      </c>
      <c r="AG60" s="120">
        <f t="shared" si="39"/>
        <v>2.572438907707902E-05</v>
      </c>
      <c r="AH60" s="104"/>
      <c r="AI60" s="105"/>
      <c r="AJ60" s="125"/>
      <c r="AK60" s="179"/>
      <c r="AL60" s="116"/>
      <c r="AM60" s="114"/>
      <c r="AN60" s="117"/>
      <c r="AO60" s="121"/>
      <c r="AP60" s="124"/>
      <c r="AQ60" s="121"/>
      <c r="AR60" s="127"/>
    </row>
    <row r="61" spans="1:45" ht="15">
      <c r="A61" s="104" t="s">
        <v>139</v>
      </c>
      <c r="B61" s="105" t="s">
        <v>138</v>
      </c>
      <c r="C61" s="105" t="s">
        <v>137</v>
      </c>
      <c r="D61" s="106">
        <v>8</v>
      </c>
      <c r="E61" s="181" t="s">
        <v>174</v>
      </c>
      <c r="F61" s="105">
        <f t="shared" si="43"/>
        <v>512.87</v>
      </c>
      <c r="G61" s="105">
        <f t="shared" si="43"/>
        <v>512.89</v>
      </c>
      <c r="H61" s="182">
        <f t="shared" si="23"/>
        <v>512.88</v>
      </c>
      <c r="I61" s="110">
        <v>84</v>
      </c>
      <c r="J61" s="111">
        <v>86</v>
      </c>
      <c r="K61" s="105">
        <f t="shared" si="24"/>
        <v>85</v>
      </c>
      <c r="L61" s="104">
        <v>270</v>
      </c>
      <c r="M61" s="105">
        <v>14</v>
      </c>
      <c r="N61" s="105">
        <v>329</v>
      </c>
      <c r="O61" s="105">
        <v>0</v>
      </c>
      <c r="P61" s="105"/>
      <c r="Q61" s="106"/>
      <c r="R61" s="113">
        <f t="shared" si="25"/>
        <v>0.12459898738824406</v>
      </c>
      <c r="S61" s="113">
        <f t="shared" si="26"/>
        <v>0.20736753823190537</v>
      </c>
      <c r="T61" s="113">
        <f t="shared" si="27"/>
        <v>0.8317057685747914</v>
      </c>
      <c r="U61" s="114">
        <f t="shared" si="28"/>
        <v>58.99999999999998</v>
      </c>
      <c r="V61" s="149">
        <f t="shared" si="29"/>
        <v>73.78164020014773</v>
      </c>
      <c r="W61" s="116">
        <f t="shared" si="41"/>
        <v>238.99999999999997</v>
      </c>
      <c r="X61" s="114">
        <f t="shared" si="30"/>
        <v>148.99999999999997</v>
      </c>
      <c r="Y61" s="117">
        <f t="shared" si="31"/>
        <v>16.218359799852266</v>
      </c>
      <c r="Z61" s="124">
        <f t="shared" si="32"/>
        <v>119.9827499517115</v>
      </c>
      <c r="AA61" s="119">
        <f t="shared" si="33"/>
        <v>119.9827499517115</v>
      </c>
      <c r="AB61" s="120">
        <f t="shared" si="34"/>
        <v>-0.49973924295464284</v>
      </c>
      <c r="AC61" s="120">
        <f t="shared" si="35"/>
        <v>0.8317057685747913</v>
      </c>
      <c r="AD61" s="120">
        <f t="shared" si="36"/>
        <v>0.24192189559966715</v>
      </c>
      <c r="AE61" s="121">
        <f t="shared" si="37"/>
        <v>270</v>
      </c>
      <c r="AF61" s="119">
        <f t="shared" si="38"/>
        <v>13.999999999999968</v>
      </c>
      <c r="AG61" s="120">
        <f t="shared" si="39"/>
        <v>-3.682701931487603E-05</v>
      </c>
      <c r="AH61" s="104">
        <v>83</v>
      </c>
      <c r="AI61" s="105">
        <v>100</v>
      </c>
      <c r="AJ61" s="125"/>
      <c r="AK61" s="179"/>
      <c r="AL61" s="116"/>
      <c r="AM61" s="114"/>
      <c r="AN61" s="117"/>
      <c r="AO61" s="121"/>
      <c r="AP61" s="124"/>
      <c r="AQ61" s="121"/>
      <c r="AR61" s="127"/>
      <c r="AS61" s="91" t="s">
        <v>142</v>
      </c>
    </row>
    <row r="62" spans="1:45" ht="15">
      <c r="A62" s="104" t="s">
        <v>139</v>
      </c>
      <c r="B62" s="105" t="s">
        <v>138</v>
      </c>
      <c r="C62" s="105" t="s">
        <v>137</v>
      </c>
      <c r="D62" s="106">
        <v>8</v>
      </c>
      <c r="E62" s="181" t="s">
        <v>174</v>
      </c>
      <c r="F62" s="105">
        <f t="shared" si="43"/>
        <v>513.0799999999999</v>
      </c>
      <c r="G62" s="105">
        <f t="shared" si="43"/>
        <v>513.1</v>
      </c>
      <c r="H62" s="182">
        <f t="shared" si="23"/>
        <v>513.0899999999999</v>
      </c>
      <c r="I62" s="110">
        <v>105</v>
      </c>
      <c r="J62" s="111">
        <v>107</v>
      </c>
      <c r="K62" s="105">
        <f t="shared" si="24"/>
        <v>106</v>
      </c>
      <c r="L62" s="104">
        <v>270</v>
      </c>
      <c r="M62" s="105">
        <v>75</v>
      </c>
      <c r="N62" s="105">
        <v>211</v>
      </c>
      <c r="O62" s="105">
        <v>0</v>
      </c>
      <c r="P62" s="105"/>
      <c r="Q62" s="106"/>
      <c r="R62" s="113">
        <f t="shared" si="25"/>
        <v>0.49748857807782515</v>
      </c>
      <c r="S62" s="113">
        <f t="shared" si="26"/>
        <v>-0.8279600331986582</v>
      </c>
      <c r="T62" s="113">
        <f t="shared" si="27"/>
        <v>-0.22185122226082593</v>
      </c>
      <c r="U62" s="114">
        <f t="shared" si="28"/>
        <v>301</v>
      </c>
      <c r="V62" s="149">
        <f t="shared" si="29"/>
        <v>-12.935202111361502</v>
      </c>
      <c r="W62" s="116">
        <f t="shared" si="41"/>
        <v>301</v>
      </c>
      <c r="X62" s="114">
        <f t="shared" si="30"/>
        <v>211</v>
      </c>
      <c r="Y62" s="117">
        <f t="shared" si="31"/>
        <v>77.0647978886385</v>
      </c>
      <c r="Z62" s="124">
        <f t="shared" si="32"/>
        <v>82.33957527465068</v>
      </c>
      <c r="AA62" s="119">
        <f t="shared" si="33"/>
        <v>82.33957527465068</v>
      </c>
      <c r="AB62" s="120">
        <f t="shared" si="34"/>
        <v>0.13330166273966074</v>
      </c>
      <c r="AC62" s="120">
        <f t="shared" si="35"/>
        <v>0.22185122226082604</v>
      </c>
      <c r="AD62" s="120">
        <f t="shared" si="36"/>
        <v>0.9659258262890683</v>
      </c>
      <c r="AE62" s="121">
        <f t="shared" si="37"/>
        <v>270</v>
      </c>
      <c r="AF62" s="119">
        <f t="shared" si="38"/>
        <v>75.00000000000001</v>
      </c>
      <c r="AG62" s="120">
        <f t="shared" si="39"/>
        <v>3.922049909977746E-05</v>
      </c>
      <c r="AH62" s="104">
        <v>101</v>
      </c>
      <c r="AI62" s="105">
        <v>111</v>
      </c>
      <c r="AJ62" s="125"/>
      <c r="AK62" s="179"/>
      <c r="AL62" s="116"/>
      <c r="AM62" s="114"/>
      <c r="AN62" s="117"/>
      <c r="AO62" s="121"/>
      <c r="AP62" s="124"/>
      <c r="AQ62" s="121"/>
      <c r="AR62" s="127"/>
      <c r="AS62" s="91" t="s">
        <v>136</v>
      </c>
    </row>
    <row r="63" spans="1:44" ht="15">
      <c r="A63" s="104" t="s">
        <v>139</v>
      </c>
      <c r="B63" s="105" t="s">
        <v>138</v>
      </c>
      <c r="C63" s="105" t="s">
        <v>146</v>
      </c>
      <c r="D63" s="106">
        <v>2</v>
      </c>
      <c r="E63" s="181" t="s">
        <v>145</v>
      </c>
      <c r="F63" s="105">
        <f>515.4+(I63/100)</f>
        <v>515.78</v>
      </c>
      <c r="G63" s="105">
        <f>515.4+(J63/100)</f>
        <v>515.9</v>
      </c>
      <c r="H63" s="182">
        <f t="shared" si="23"/>
        <v>515.8399999999999</v>
      </c>
      <c r="I63" s="110">
        <v>38</v>
      </c>
      <c r="J63" s="111">
        <v>50</v>
      </c>
      <c r="K63" s="105">
        <f t="shared" si="24"/>
        <v>44</v>
      </c>
      <c r="L63" s="104">
        <v>270</v>
      </c>
      <c r="M63" s="105">
        <v>66</v>
      </c>
      <c r="N63" s="105">
        <v>303</v>
      </c>
      <c r="O63" s="105">
        <v>0</v>
      </c>
      <c r="P63" s="105">
        <v>25</v>
      </c>
      <c r="Q63" s="106">
        <v>90</v>
      </c>
      <c r="R63" s="113">
        <f t="shared" si="25"/>
        <v>0.7661636878050826</v>
      </c>
      <c r="S63" s="113">
        <f t="shared" si="26"/>
        <v>0.49755251649282706</v>
      </c>
      <c r="T63" s="113">
        <f t="shared" si="27"/>
        <v>0.2215246527900552</v>
      </c>
      <c r="U63" s="114">
        <f t="shared" si="28"/>
        <v>32.99999999999998</v>
      </c>
      <c r="V63" s="149">
        <f t="shared" si="29"/>
        <v>13.63049494626982</v>
      </c>
      <c r="W63" s="116">
        <f t="shared" si="41"/>
        <v>212.99999999999997</v>
      </c>
      <c r="X63" s="114">
        <f t="shared" si="30"/>
        <v>122.99999999999997</v>
      </c>
      <c r="Y63" s="117">
        <f t="shared" si="31"/>
        <v>76.36950505373018</v>
      </c>
      <c r="Z63" s="124">
        <f t="shared" si="32"/>
        <v>109.94500644435819</v>
      </c>
      <c r="AA63" s="119">
        <f t="shared" si="33"/>
        <v>84.94500644435819</v>
      </c>
      <c r="AB63" s="120">
        <f t="shared" si="34"/>
        <v>0.08811186866838594</v>
      </c>
      <c r="AC63" s="120">
        <f t="shared" si="35"/>
        <v>0.2347428165356084</v>
      </c>
      <c r="AD63" s="120">
        <f t="shared" si="36"/>
        <v>0.9680558396521839</v>
      </c>
      <c r="AE63" s="121">
        <f t="shared" si="37"/>
        <v>192.42612907410467</v>
      </c>
      <c r="AF63" s="119">
        <f t="shared" si="38"/>
        <v>75.47900762432941</v>
      </c>
      <c r="AG63" s="120">
        <f t="shared" si="39"/>
        <v>2.598176928484938E-05</v>
      </c>
      <c r="AH63" s="104">
        <v>27</v>
      </c>
      <c r="AI63" s="105">
        <v>50</v>
      </c>
      <c r="AJ63" s="151">
        <v>349.8</v>
      </c>
      <c r="AK63" s="153">
        <v>57.3</v>
      </c>
      <c r="AL63" s="159">
        <f>IF(AK63&gt;=0,IF(W63&gt;=AJ63,W63-AJ63,W63-AJ63+360),IF((W63-AJ63-180)&lt;0,IF(W63-AJ63+180&lt;0,W63-AJ63+540,W63-AJ63+180),W63-AJ63-180))</f>
        <v>223.19999999999996</v>
      </c>
      <c r="AM63" s="149">
        <f>IF(AL63-90&lt;0,AL63+270,AL63-90)</f>
        <v>133.19999999999996</v>
      </c>
      <c r="AN63" s="115">
        <f>Y63</f>
        <v>76.36950505373018</v>
      </c>
      <c r="AO63" s="121">
        <f>AA63</f>
        <v>84.94500644435819</v>
      </c>
      <c r="AP63" s="161">
        <f>IF(AK63&gt;=0,IF(AE63&gt;=AJ63,AE63-AJ63,AE63-AJ63+360),IF((AE63-AJ63-180)&lt;0,IF(AE63-AJ63+180&lt;0,AE63-AJ63+540,AE63-AJ63+180),AE63-AJ63-180))</f>
        <v>202.62612907410465</v>
      </c>
      <c r="AQ63" s="121">
        <f>AF63</f>
        <v>75.47900762432941</v>
      </c>
      <c r="AR63" s="127"/>
    </row>
    <row r="64" spans="1:45" ht="15">
      <c r="A64" s="104" t="s">
        <v>139</v>
      </c>
      <c r="B64" s="105" t="s">
        <v>138</v>
      </c>
      <c r="C64" s="105" t="s">
        <v>146</v>
      </c>
      <c r="D64" s="106">
        <v>6</v>
      </c>
      <c r="E64" s="181" t="s">
        <v>47</v>
      </c>
      <c r="F64" s="105">
        <f aca="true" t="shared" si="44" ref="F64:G66">518.995+(I64/100)</f>
        <v>519.045</v>
      </c>
      <c r="G64" s="105">
        <f t="shared" si="44"/>
        <v>519.055</v>
      </c>
      <c r="H64" s="182">
        <f t="shared" si="23"/>
        <v>519.05</v>
      </c>
      <c r="I64" s="110">
        <v>5</v>
      </c>
      <c r="J64" s="111">
        <v>6</v>
      </c>
      <c r="K64" s="105">
        <f t="shared" si="24"/>
        <v>5.5</v>
      </c>
      <c r="L64" s="104">
        <v>90</v>
      </c>
      <c r="M64" s="105">
        <v>7</v>
      </c>
      <c r="N64" s="105">
        <v>180</v>
      </c>
      <c r="O64" s="105">
        <v>5</v>
      </c>
      <c r="P64" s="105"/>
      <c r="Q64" s="106"/>
      <c r="R64" s="113">
        <f t="shared" si="25"/>
        <v>0.08650609705762916</v>
      </c>
      <c r="S64" s="113">
        <f t="shared" si="26"/>
        <v>-0.12140559376013015</v>
      </c>
      <c r="T64" s="113">
        <f t="shared" si="27"/>
        <v>0.9887692138764507</v>
      </c>
      <c r="U64" s="114">
        <f t="shared" si="28"/>
        <v>305.4713156659525</v>
      </c>
      <c r="V64" s="149">
        <f t="shared" si="29"/>
        <v>81.42632981513503</v>
      </c>
      <c r="W64" s="116">
        <f t="shared" si="41"/>
        <v>125.47131566595249</v>
      </c>
      <c r="X64" s="114">
        <f t="shared" si="30"/>
        <v>35.47131566595249</v>
      </c>
      <c r="Y64" s="117">
        <f t="shared" si="31"/>
        <v>8.573670184864966</v>
      </c>
      <c r="Z64" s="124">
        <f t="shared" si="32"/>
        <v>54.83241859752948</v>
      </c>
      <c r="AA64" s="119">
        <f t="shared" si="33"/>
        <v>54.83241859752948</v>
      </c>
      <c r="AB64" s="120">
        <f t="shared" si="34"/>
        <v>0.575969874135013</v>
      </c>
      <c r="AC64" s="120">
        <f t="shared" si="35"/>
        <v>0.8083356773190798</v>
      </c>
      <c r="AD64" s="120">
        <f t="shared" si="36"/>
        <v>0.1218693434051472</v>
      </c>
      <c r="AE64" s="121">
        <f t="shared" si="37"/>
        <v>90.00000000000001</v>
      </c>
      <c r="AF64" s="119">
        <f t="shared" si="38"/>
        <v>6.999999999999984</v>
      </c>
      <c r="AG64" s="120">
        <f t="shared" si="39"/>
        <v>2.1381655741982463E-05</v>
      </c>
      <c r="AH64" s="104">
        <v>0</v>
      </c>
      <c r="AI64" s="105">
        <v>20</v>
      </c>
      <c r="AJ64" s="125"/>
      <c r="AK64" s="179"/>
      <c r="AL64" s="116"/>
      <c r="AM64" s="114"/>
      <c r="AN64" s="117"/>
      <c r="AO64" s="121"/>
      <c r="AP64" s="124"/>
      <c r="AQ64" s="121"/>
      <c r="AR64" s="127"/>
      <c r="AS64" s="91" t="s">
        <v>107</v>
      </c>
    </row>
    <row r="65" spans="1:45" ht="15">
      <c r="A65" s="104" t="s">
        <v>139</v>
      </c>
      <c r="B65" s="105" t="s">
        <v>138</v>
      </c>
      <c r="C65" s="105" t="s">
        <v>146</v>
      </c>
      <c r="D65" s="106">
        <v>6</v>
      </c>
      <c r="E65" s="181" t="s">
        <v>47</v>
      </c>
      <c r="F65" s="105">
        <f t="shared" si="44"/>
        <v>519.595</v>
      </c>
      <c r="G65" s="105">
        <f t="shared" si="44"/>
        <v>519.605</v>
      </c>
      <c r="H65" s="182">
        <f t="shared" si="23"/>
        <v>519.6</v>
      </c>
      <c r="I65" s="110">
        <v>60</v>
      </c>
      <c r="J65" s="111">
        <v>61</v>
      </c>
      <c r="K65" s="105">
        <f t="shared" si="24"/>
        <v>60.5</v>
      </c>
      <c r="L65" s="104">
        <v>90</v>
      </c>
      <c r="M65" s="105">
        <v>0</v>
      </c>
      <c r="N65" s="105">
        <v>0</v>
      </c>
      <c r="O65" s="105">
        <v>6</v>
      </c>
      <c r="P65" s="105"/>
      <c r="Q65" s="106"/>
      <c r="R65" s="113">
        <f t="shared" si="25"/>
        <v>0.10452846326765346</v>
      </c>
      <c r="S65" s="113">
        <f t="shared" si="26"/>
        <v>-6.403144263316904E-18</v>
      </c>
      <c r="T65" s="113">
        <f t="shared" si="27"/>
        <v>-0.9945218953682733</v>
      </c>
      <c r="U65" s="114">
        <f t="shared" si="28"/>
        <v>360</v>
      </c>
      <c r="V65" s="149">
        <f t="shared" si="29"/>
        <v>-83.99999999999999</v>
      </c>
      <c r="W65" s="116">
        <f t="shared" si="41"/>
        <v>360</v>
      </c>
      <c r="X65" s="114">
        <f t="shared" si="30"/>
        <v>270</v>
      </c>
      <c r="Y65" s="117">
        <f t="shared" si="31"/>
        <v>6.000000000000014</v>
      </c>
      <c r="Z65" s="124">
        <f t="shared" si="32"/>
        <v>0</v>
      </c>
      <c r="AA65" s="119">
        <f t="shared" si="33"/>
        <v>0</v>
      </c>
      <c r="AB65" s="120">
        <f t="shared" si="34"/>
        <v>1</v>
      </c>
      <c r="AC65" s="120">
        <f t="shared" si="35"/>
        <v>0</v>
      </c>
      <c r="AD65" s="120">
        <f t="shared" si="36"/>
        <v>0</v>
      </c>
      <c r="AE65" s="121">
        <f t="shared" si="37"/>
        <v>270</v>
      </c>
      <c r="AF65" s="119">
        <f t="shared" si="38"/>
        <v>0</v>
      </c>
      <c r="AG65" s="120">
        <f t="shared" si="39"/>
        <v>0</v>
      </c>
      <c r="AH65" s="104">
        <v>43</v>
      </c>
      <c r="AI65" s="105">
        <v>115</v>
      </c>
      <c r="AJ65" s="125"/>
      <c r="AK65" s="179"/>
      <c r="AL65" s="116"/>
      <c r="AM65" s="114"/>
      <c r="AN65" s="117"/>
      <c r="AO65" s="121"/>
      <c r="AP65" s="124"/>
      <c r="AQ65" s="121"/>
      <c r="AR65" s="127"/>
      <c r="AS65" s="91" t="s">
        <v>107</v>
      </c>
    </row>
    <row r="66" spans="1:44" ht="15">
      <c r="A66" s="104" t="s">
        <v>139</v>
      </c>
      <c r="B66" s="105" t="s">
        <v>138</v>
      </c>
      <c r="C66" s="105" t="s">
        <v>146</v>
      </c>
      <c r="D66" s="106">
        <v>6</v>
      </c>
      <c r="E66" s="181" t="s">
        <v>47</v>
      </c>
      <c r="F66" s="105">
        <f t="shared" si="44"/>
        <v>520.325</v>
      </c>
      <c r="G66" s="105">
        <f t="shared" si="44"/>
        <v>520.395</v>
      </c>
      <c r="H66" s="182">
        <f t="shared" si="23"/>
        <v>520.36</v>
      </c>
      <c r="I66" s="110">
        <v>133</v>
      </c>
      <c r="J66" s="111">
        <v>140</v>
      </c>
      <c r="K66" s="105">
        <f t="shared" si="24"/>
        <v>136.5</v>
      </c>
      <c r="L66" s="104">
        <v>90</v>
      </c>
      <c r="M66" s="105">
        <v>54</v>
      </c>
      <c r="N66" s="105">
        <v>33</v>
      </c>
      <c r="O66" s="105">
        <v>0</v>
      </c>
      <c r="P66" s="105">
        <v>48</v>
      </c>
      <c r="Q66" s="106">
        <v>270</v>
      </c>
      <c r="R66" s="113">
        <f t="shared" si="25"/>
        <v>-0.44062223512712895</v>
      </c>
      <c r="S66" s="113">
        <f t="shared" si="26"/>
        <v>0.6784987421499371</v>
      </c>
      <c r="T66" s="113">
        <f t="shared" si="27"/>
        <v>-0.4929581913700728</v>
      </c>
      <c r="U66" s="114">
        <f t="shared" si="28"/>
        <v>123</v>
      </c>
      <c r="V66" s="149">
        <f t="shared" si="29"/>
        <v>-31.355198133435405</v>
      </c>
      <c r="W66" s="116">
        <f t="shared" si="41"/>
        <v>123</v>
      </c>
      <c r="X66" s="114">
        <f t="shared" si="30"/>
        <v>33</v>
      </c>
      <c r="Y66" s="117">
        <f t="shared" si="31"/>
        <v>58.64480186656459</v>
      </c>
      <c r="Z66" s="124">
        <f t="shared" si="32"/>
        <v>71.32916515071162</v>
      </c>
      <c r="AA66" s="119">
        <f t="shared" si="33"/>
        <v>119.32916515071162</v>
      </c>
      <c r="AB66" s="120">
        <f t="shared" si="34"/>
        <v>-0.48982629592417243</v>
      </c>
      <c r="AC66" s="120">
        <f t="shared" si="35"/>
        <v>0.4536446295451281</v>
      </c>
      <c r="AD66" s="120">
        <f t="shared" si="36"/>
        <v>0.7444976493623527</v>
      </c>
      <c r="AE66" s="121">
        <f t="shared" si="37"/>
        <v>170.19618999059898</v>
      </c>
      <c r="AF66" s="119">
        <f t="shared" si="38"/>
        <v>48.11596894368458</v>
      </c>
      <c r="AG66" s="120">
        <f t="shared" si="39"/>
        <v>-0.00011108173404896742</v>
      </c>
      <c r="AH66" s="104">
        <v>131</v>
      </c>
      <c r="AI66" s="105">
        <v>141</v>
      </c>
      <c r="AJ66" s="255">
        <v>336.6</v>
      </c>
      <c r="AK66" s="256">
        <v>-54.9</v>
      </c>
      <c r="AL66" s="250">
        <f>IF(AK66&gt;=0,IF(W66&gt;=AJ66,W66-AJ66,W66-AJ66+360),IF((W66-AJ66-180)&lt;0,IF(W66-AJ66+180&lt;0,W66-AJ66+540,W66-AJ66+180),W66-AJ66-180))</f>
        <v>326.4</v>
      </c>
      <c r="AM66" s="251">
        <f>IF(AL66-90&lt;0,AL66+270,AL66-90)</f>
        <v>236.39999999999998</v>
      </c>
      <c r="AN66" s="252">
        <f>Y66</f>
        <v>58.64480186656459</v>
      </c>
      <c r="AO66" s="253">
        <f>AA66</f>
        <v>119.32916515071162</v>
      </c>
      <c r="AP66" s="254">
        <f>IF(AK66&gt;=0,IF(AE66&gt;=AJ66,AE66-AJ66,AE66-AJ66+360),IF((AE66-AJ66-180)&lt;0,IF(AE66-AJ66+180&lt;0,AE66-AJ66+540,AE66-AJ66+180),AE66-AJ66-180))</f>
        <v>13.596189990598958</v>
      </c>
      <c r="AQ66" s="253">
        <f>AF66</f>
        <v>48.11596894368458</v>
      </c>
      <c r="AR66" s="127"/>
    </row>
    <row r="67" spans="1:44" ht="15">
      <c r="A67" s="104" t="s">
        <v>139</v>
      </c>
      <c r="B67" s="105" t="s">
        <v>138</v>
      </c>
      <c r="C67" s="105" t="s">
        <v>146</v>
      </c>
      <c r="D67" s="106">
        <v>7</v>
      </c>
      <c r="E67" s="181" t="s">
        <v>47</v>
      </c>
      <c r="F67" s="105">
        <f>520.405+(I67/100)</f>
        <v>520.505</v>
      </c>
      <c r="G67" s="105">
        <f>520.405+(J67/100)</f>
        <v>520.605</v>
      </c>
      <c r="H67" s="182">
        <f aca="true" t="shared" si="45" ref="H67:H98">(F67+G67)/2</f>
        <v>520.5550000000001</v>
      </c>
      <c r="I67" s="110">
        <v>10</v>
      </c>
      <c r="J67" s="111">
        <v>20</v>
      </c>
      <c r="K67" s="105">
        <f aca="true" t="shared" si="46" ref="K67:K98">(+I67+J67)/2</f>
        <v>15</v>
      </c>
      <c r="L67" s="104">
        <v>90</v>
      </c>
      <c r="M67" s="105">
        <v>62</v>
      </c>
      <c r="N67" s="105">
        <v>6</v>
      </c>
      <c r="O67" s="105">
        <v>0</v>
      </c>
      <c r="P67" s="105">
        <v>8</v>
      </c>
      <c r="Q67" s="106">
        <v>270</v>
      </c>
      <c r="R67" s="113">
        <f aca="true" t="shared" si="47" ref="R67:R98">COS(M67*PI()/180)*SIN(L67*PI()/180)*(SIN(O67*PI()/180))-(COS(O67*PI()/180)*SIN(N67*PI()/180))*(SIN(M67*PI()/180))</f>
        <v>-0.09229315502741738</v>
      </c>
      <c r="S67" s="113">
        <f aca="true" t="shared" si="48" ref="S67:S98">(SIN(M67*PI()/180))*(COS(O67*PI()/180)*COS(N67*PI()/180))-(SIN(O67*PI()/180))*(COS(M67*PI()/180)*COS(L67*PI()/180))</f>
        <v>0.8781107135609144</v>
      </c>
      <c r="T67" s="113">
        <f aca="true" t="shared" si="49" ref="T67:T98">(COS(M67*PI()/180)*COS(L67*PI()/180))*(COS(O67*PI()/180)*SIN(N67*PI()/180))-(COS(M67*PI()/180)*SIN(L67*PI()/180))*(COS(O67*PI()/180)*COS(N67*PI()/180))</f>
        <v>-0.4668997484433295</v>
      </c>
      <c r="U67" s="114">
        <f aca="true" t="shared" si="50" ref="U67:U98">IF(R67=0,IF(S67&gt;=0,90,270),IF(R67&gt;0,IF(S67&gt;=0,ATAN(S67/R67)*180/PI(),ATAN(S67/R67)*180/PI()+360),ATAN(S67/R67)*180/PI()+180))</f>
        <v>96</v>
      </c>
      <c r="V67" s="149">
        <f aca="true" t="shared" si="51" ref="V67:V98">ASIN(T67/SQRT(R67^2+S67^2+T67^2))*180/PI()</f>
        <v>-27.86973699089871</v>
      </c>
      <c r="W67" s="116">
        <f t="shared" si="41"/>
        <v>96</v>
      </c>
      <c r="X67" s="114">
        <f aca="true" t="shared" si="52" ref="X67:X98">IF(W67-90&lt;0,W67+270,W67-90)</f>
        <v>6</v>
      </c>
      <c r="Y67" s="117">
        <f aca="true" t="shared" si="53" ref="Y67:Y98">IF(T67&lt;0,90+V67,90-V67)</f>
        <v>62.13026300910129</v>
      </c>
      <c r="Z67" s="124">
        <f aca="true" t="shared" si="54" ref="Z67:Z98">IF(-S67&lt;0,180-ACOS(SIN((W67-90)*PI()/180)*T67/SQRT(S67^2+T67^2))*180/PI(),ACOS(SIN((W67-90)*PI()/180)*T67/SQRT(S67^2+T67^2))*180/PI())</f>
        <v>87.1871864046151</v>
      </c>
      <c r="AA67" s="119">
        <f aca="true" t="shared" si="55" ref="AA67:AA98">IF(Q67=90,IF(Z67-P67&lt;0,Z67-P67+180,Z67-P67),IF(Z67+P67&gt;180,Z67+P67-180,Z67+P67))</f>
        <v>95.1871864046151</v>
      </c>
      <c r="AB67" s="120">
        <f aca="true" t="shared" si="56" ref="AB67:AB98">COS(AA67*PI()/180)</f>
        <v>-0.09040985891541717</v>
      </c>
      <c r="AC67" s="120">
        <f aca="true" t="shared" si="57" ref="AC67:AC98">SIN(AA67*PI()/180)*COS(Y67*PI()/180)</f>
        <v>0.46554852578706013</v>
      </c>
      <c r="AD67" s="120">
        <f aca="true" t="shared" si="58" ref="AD67:AD98">SIN(AA67*PI()/180)*SIN(Y67*PI()/180)</f>
        <v>0.8803923145668578</v>
      </c>
      <c r="AE67" s="121">
        <f aca="true" t="shared" si="59" ref="AE67:AE98">IF(IF(AB67=0,IF(AC67&gt;=0,90,270),IF(AB67&gt;0,IF(AC67&gt;=0,ATAN(AC67/AB67)*180/PI(),ATAN(AC67/AB67)*180/PI()+360),ATAN(AC67/AB67)*180/PI()+180))-(360-X67)&lt;0,IF(AB67=0,IF(AC67&gt;=0,90,270),IF(AB67&gt;0,IF(AC67&gt;=0,ATAN(AC67/AB67)*180/PI(),ATAN(AC67/AB67)*180/PI()+360),ATAN(AC67/AB67)*180/PI()+180))+X67,IF(AB67=0,IF(AC67&gt;=0,90,270),IF(AB67&gt;0,IF(AC67&gt;=0,ATAN(AC67/AB67)*180/PI(),ATAN(AC67/AB67)*180/PI()+360),ATAN(AC67/AB67)*180/PI()+180))-(360-X67))</f>
        <v>106.99008459656123</v>
      </c>
      <c r="AF67" s="119">
        <f aca="true" t="shared" si="60" ref="AF67:AF98">ASIN(AD67/SQRT(AB67^2+AC67^2+AD67^2))*180/PI()</f>
        <v>61.68972435694983</v>
      </c>
      <c r="AG67" s="120">
        <f aca="true" t="shared" si="61" ref="AG67:AG98">SIN(AD67*PI()/180)*SIN(AB67*PI()/180)</f>
        <v>-2.4245408129990113E-05</v>
      </c>
      <c r="AH67" s="104">
        <v>10</v>
      </c>
      <c r="AI67" s="105">
        <v>21</v>
      </c>
      <c r="AJ67" s="255">
        <v>103.5</v>
      </c>
      <c r="AK67" s="256">
        <v>69.1</v>
      </c>
      <c r="AL67" s="250">
        <f>IF(AK67&gt;=0,IF(W67&gt;=AJ67,W67-AJ67,W67-AJ67+360),IF((W67-AJ67-180)&lt;0,IF(W67-AJ67+180&lt;0,W67-AJ67+540,W67-AJ67+180),W67-AJ67-180))</f>
        <v>352.5</v>
      </c>
      <c r="AM67" s="251">
        <f>IF(AL67-90&lt;0,AL67+270,AL67-90)</f>
        <v>262.5</v>
      </c>
      <c r="AN67" s="252">
        <f>Y67</f>
        <v>62.13026300910129</v>
      </c>
      <c r="AO67" s="253">
        <f>AA67</f>
        <v>95.1871864046151</v>
      </c>
      <c r="AP67" s="254">
        <f>IF(AK67&gt;=0,IF(AE67&gt;=AJ67,AE67-AJ67,AE67-AJ67+360),IF((AE67-AJ67-180)&lt;0,IF(AE67-AJ67+180&lt;0,AE67-AJ67+540,AE67-AJ67+180),AE67-AJ67-180))</f>
        <v>3.490084596561232</v>
      </c>
      <c r="AQ67" s="253">
        <f>AF67</f>
        <v>61.68972435694983</v>
      </c>
      <c r="AR67" s="127"/>
    </row>
    <row r="68" spans="1:45" ht="15">
      <c r="A68" s="104" t="s">
        <v>139</v>
      </c>
      <c r="B68" s="105" t="s">
        <v>138</v>
      </c>
      <c r="C68" s="105" t="s">
        <v>146</v>
      </c>
      <c r="D68" s="106">
        <v>8</v>
      </c>
      <c r="E68" s="181" t="s">
        <v>47</v>
      </c>
      <c r="F68" s="105">
        <f>521.545+(I68/100)</f>
        <v>522.0649999999999</v>
      </c>
      <c r="G68" s="105">
        <f>521.545+(J68/100)</f>
        <v>522.0749999999999</v>
      </c>
      <c r="H68" s="182">
        <f t="shared" si="45"/>
        <v>522.0699999999999</v>
      </c>
      <c r="I68" s="110">
        <v>52</v>
      </c>
      <c r="J68" s="111">
        <v>53</v>
      </c>
      <c r="K68" s="105">
        <f t="shared" si="46"/>
        <v>52.5</v>
      </c>
      <c r="L68" s="104">
        <v>90</v>
      </c>
      <c r="M68" s="105">
        <v>10</v>
      </c>
      <c r="N68" s="105">
        <v>0</v>
      </c>
      <c r="O68" s="105">
        <v>12</v>
      </c>
      <c r="P68" s="105"/>
      <c r="Q68" s="106"/>
      <c r="R68" s="113">
        <f t="shared" si="47"/>
        <v>0.20475304505920647</v>
      </c>
      <c r="S68" s="113">
        <f t="shared" si="48"/>
        <v>0.16985354835670552</v>
      </c>
      <c r="T68" s="113">
        <f t="shared" si="49"/>
        <v>-0.9632873407929415</v>
      </c>
      <c r="U68" s="114">
        <f t="shared" si="50"/>
        <v>39.67751293798413</v>
      </c>
      <c r="V68" s="149">
        <f t="shared" si="51"/>
        <v>-74.56128769428251</v>
      </c>
      <c r="W68" s="116">
        <f t="shared" si="41"/>
        <v>39.67751293798413</v>
      </c>
      <c r="X68" s="114">
        <f t="shared" si="52"/>
        <v>309.67751293798415</v>
      </c>
      <c r="Y68" s="117">
        <f t="shared" si="53"/>
        <v>15.438712305717488</v>
      </c>
      <c r="Z68" s="124">
        <f t="shared" si="54"/>
        <v>139.28446314023603</v>
      </c>
      <c r="AA68" s="119">
        <f t="shared" si="55"/>
        <v>139.28446314023603</v>
      </c>
      <c r="AB68" s="120">
        <f t="shared" si="56"/>
        <v>-0.7579574792202248</v>
      </c>
      <c r="AC68" s="120">
        <f t="shared" si="57"/>
        <v>0.6287660694464011</v>
      </c>
      <c r="AD68" s="120">
        <f t="shared" si="58"/>
        <v>0.17364817766693036</v>
      </c>
      <c r="AE68" s="121">
        <f t="shared" si="59"/>
        <v>90</v>
      </c>
      <c r="AF68" s="119">
        <f t="shared" si="60"/>
        <v>10.000000000000002</v>
      </c>
      <c r="AG68" s="120">
        <f t="shared" si="61"/>
        <v>-4.0091884996316607E-05</v>
      </c>
      <c r="AH68" s="104">
        <v>43</v>
      </c>
      <c r="AI68" s="105">
        <v>60</v>
      </c>
      <c r="AJ68" s="125"/>
      <c r="AK68" s="179"/>
      <c r="AL68" s="116"/>
      <c r="AM68" s="114"/>
      <c r="AN68" s="117"/>
      <c r="AO68" s="121"/>
      <c r="AP68" s="124"/>
      <c r="AQ68" s="121"/>
      <c r="AR68" s="127"/>
      <c r="AS68" s="91" t="s">
        <v>107</v>
      </c>
    </row>
    <row r="69" spans="1:44" ht="15">
      <c r="A69" s="104" t="s">
        <v>139</v>
      </c>
      <c r="B69" s="105" t="s">
        <v>138</v>
      </c>
      <c r="C69" s="105" t="s">
        <v>161</v>
      </c>
      <c r="D69" s="106">
        <v>1</v>
      </c>
      <c r="E69" s="181" t="s">
        <v>47</v>
      </c>
      <c r="F69" s="105">
        <f aca="true" t="shared" si="62" ref="F69:G71">523.5+(I69/100)</f>
        <v>523.5</v>
      </c>
      <c r="G69" s="105">
        <f t="shared" si="62"/>
        <v>523.53</v>
      </c>
      <c r="H69" s="182">
        <f t="shared" si="45"/>
        <v>523.515</v>
      </c>
      <c r="I69" s="110">
        <v>0</v>
      </c>
      <c r="J69" s="111">
        <v>3</v>
      </c>
      <c r="K69" s="105">
        <f t="shared" si="46"/>
        <v>1.5</v>
      </c>
      <c r="L69" s="104">
        <v>90</v>
      </c>
      <c r="M69" s="105">
        <v>31</v>
      </c>
      <c r="N69" s="105">
        <v>0</v>
      </c>
      <c r="O69" s="105">
        <v>30</v>
      </c>
      <c r="P69" s="105"/>
      <c r="Q69" s="106"/>
      <c r="R69" s="113">
        <f t="shared" si="47"/>
        <v>0.4285836503510561</v>
      </c>
      <c r="S69" s="113">
        <f t="shared" si="48"/>
        <v>0.44603605678833963</v>
      </c>
      <c r="T69" s="113">
        <f t="shared" si="49"/>
        <v>-0.7423286577013642</v>
      </c>
      <c r="U69" s="114">
        <f t="shared" si="50"/>
        <v>46.14314431409362</v>
      </c>
      <c r="V69" s="149">
        <f t="shared" si="51"/>
        <v>-50.19600392335758</v>
      </c>
      <c r="W69" s="116">
        <f t="shared" si="41"/>
        <v>46.14314431409362</v>
      </c>
      <c r="X69" s="114">
        <f t="shared" si="52"/>
        <v>316.1431443140936</v>
      </c>
      <c r="Y69" s="117">
        <f t="shared" si="53"/>
        <v>39.80399607664242</v>
      </c>
      <c r="Z69" s="124">
        <f t="shared" si="54"/>
        <v>126.4339790180004</v>
      </c>
      <c r="AA69" s="119">
        <f t="shared" si="55"/>
        <v>126.4339790180004</v>
      </c>
      <c r="AB69" s="120">
        <f t="shared" si="56"/>
        <v>-0.5938961210602873</v>
      </c>
      <c r="AC69" s="120">
        <f t="shared" si="57"/>
        <v>0.6180802365247493</v>
      </c>
      <c r="AD69" s="120">
        <f t="shared" si="58"/>
        <v>0.5150380749100542</v>
      </c>
      <c r="AE69" s="121">
        <f t="shared" si="59"/>
        <v>89.99999999999994</v>
      </c>
      <c r="AF69" s="119">
        <f t="shared" si="60"/>
        <v>30.999999999999993</v>
      </c>
      <c r="AG69" s="120">
        <f t="shared" si="61"/>
        <v>-9.317318343408686E-05</v>
      </c>
      <c r="AH69" s="104">
        <v>0</v>
      </c>
      <c r="AI69" s="105">
        <v>8</v>
      </c>
      <c r="AJ69" s="262">
        <v>172.7</v>
      </c>
      <c r="AK69" s="263">
        <v>39.3</v>
      </c>
      <c r="AL69" s="159">
        <f>IF(AK69&gt;=0,IF(W69&gt;=AJ69,W69-AJ69,W69-AJ69+360),IF((W69-AJ69-180)&lt;0,IF(W69-AJ69+180&lt;0,W69-AJ69+540,W69-AJ69+180),W69-AJ69-180))</f>
        <v>233.44314431409362</v>
      </c>
      <c r="AM69" s="149">
        <f>IF(AL69-90&lt;0,AL69+270,AL69-90)</f>
        <v>143.44314431409362</v>
      </c>
      <c r="AN69" s="115">
        <f>Y69</f>
        <v>39.80399607664242</v>
      </c>
      <c r="AO69" s="121"/>
      <c r="AP69" s="124"/>
      <c r="AQ69" s="121"/>
      <c r="AR69" s="127"/>
    </row>
    <row r="70" spans="1:44" ht="15">
      <c r="A70" s="104" t="s">
        <v>139</v>
      </c>
      <c r="B70" s="105" t="s">
        <v>138</v>
      </c>
      <c r="C70" s="105" t="s">
        <v>161</v>
      </c>
      <c r="D70" s="106">
        <v>1</v>
      </c>
      <c r="E70" s="181" t="s">
        <v>47</v>
      </c>
      <c r="F70" s="105">
        <f t="shared" si="62"/>
        <v>523.55</v>
      </c>
      <c r="G70" s="105">
        <f t="shared" si="62"/>
        <v>523.57</v>
      </c>
      <c r="H70" s="182">
        <f t="shared" si="45"/>
        <v>523.56</v>
      </c>
      <c r="I70" s="110">
        <v>5</v>
      </c>
      <c r="J70" s="111">
        <v>7</v>
      </c>
      <c r="K70" s="105">
        <f t="shared" si="46"/>
        <v>6</v>
      </c>
      <c r="L70" s="104">
        <v>270</v>
      </c>
      <c r="M70" s="105">
        <v>27</v>
      </c>
      <c r="N70" s="105">
        <v>0</v>
      </c>
      <c r="O70" s="105">
        <v>9</v>
      </c>
      <c r="P70" s="105"/>
      <c r="Q70" s="106"/>
      <c r="R70" s="113">
        <f t="shared" si="47"/>
        <v>-0.13938412895876287</v>
      </c>
      <c r="S70" s="113">
        <f t="shared" si="48"/>
        <v>0.44840112333371024</v>
      </c>
      <c r="T70" s="113">
        <f t="shared" si="49"/>
        <v>0.8800367553350505</v>
      </c>
      <c r="U70" s="114">
        <f t="shared" si="50"/>
        <v>107.26769855229804</v>
      </c>
      <c r="V70" s="149">
        <f t="shared" si="51"/>
        <v>61.91675348976765</v>
      </c>
      <c r="W70" s="116">
        <f t="shared" si="41"/>
        <v>287.26769855229804</v>
      </c>
      <c r="X70" s="114">
        <f t="shared" si="52"/>
        <v>197.26769855229804</v>
      </c>
      <c r="Y70" s="117">
        <f t="shared" si="53"/>
        <v>28.08324651023235</v>
      </c>
      <c r="Z70" s="124">
        <f t="shared" si="54"/>
        <v>74.66374640121157</v>
      </c>
      <c r="AA70" s="119">
        <f t="shared" si="55"/>
        <v>74.66374640121157</v>
      </c>
      <c r="AB70" s="120">
        <f t="shared" si="56"/>
        <v>0.2644833156619621</v>
      </c>
      <c r="AC70" s="120">
        <f t="shared" si="57"/>
        <v>0.8508473434657309</v>
      </c>
      <c r="AD70" s="120">
        <f t="shared" si="58"/>
        <v>0.45399049973954697</v>
      </c>
      <c r="AE70" s="121">
        <f t="shared" si="59"/>
        <v>270</v>
      </c>
      <c r="AF70" s="119">
        <f t="shared" si="60"/>
        <v>27.000000000000007</v>
      </c>
      <c r="AG70" s="120">
        <f t="shared" si="61"/>
        <v>3.657578820946987E-05</v>
      </c>
      <c r="AH70" s="104"/>
      <c r="AI70" s="105"/>
      <c r="AJ70" s="125"/>
      <c r="AK70" s="179"/>
      <c r="AL70" s="116"/>
      <c r="AM70" s="114"/>
      <c r="AN70" s="117"/>
      <c r="AO70" s="121"/>
      <c r="AP70" s="124"/>
      <c r="AQ70" s="121"/>
      <c r="AR70" s="127"/>
    </row>
    <row r="71" spans="1:44" ht="15">
      <c r="A71" s="104" t="s">
        <v>139</v>
      </c>
      <c r="B71" s="105" t="s">
        <v>138</v>
      </c>
      <c r="C71" s="105" t="s">
        <v>161</v>
      </c>
      <c r="D71" s="106">
        <v>1</v>
      </c>
      <c r="E71" s="181" t="s">
        <v>47</v>
      </c>
      <c r="F71" s="105">
        <f t="shared" si="62"/>
        <v>523.64</v>
      </c>
      <c r="G71" s="105">
        <f t="shared" si="62"/>
        <v>523.65</v>
      </c>
      <c r="H71" s="182">
        <f t="shared" si="45"/>
        <v>523.645</v>
      </c>
      <c r="I71" s="110">
        <v>14</v>
      </c>
      <c r="J71" s="111">
        <v>15</v>
      </c>
      <c r="K71" s="105">
        <f t="shared" si="46"/>
        <v>14.5</v>
      </c>
      <c r="L71" s="104">
        <v>90</v>
      </c>
      <c r="M71" s="105">
        <v>22</v>
      </c>
      <c r="N71" s="105">
        <v>180</v>
      </c>
      <c r="O71" s="105">
        <v>21</v>
      </c>
      <c r="P71" s="105"/>
      <c r="Q71" s="106"/>
      <c r="R71" s="113">
        <f t="shared" si="47"/>
        <v>0.3322729768126074</v>
      </c>
      <c r="S71" s="113">
        <f t="shared" si="48"/>
        <v>-0.349725383249891</v>
      </c>
      <c r="T71" s="113">
        <f t="shared" si="49"/>
        <v>0.8656006983877809</v>
      </c>
      <c r="U71" s="114">
        <f t="shared" si="50"/>
        <v>313.5341151795369</v>
      </c>
      <c r="V71" s="149">
        <f t="shared" si="51"/>
        <v>60.86886044324414</v>
      </c>
      <c r="W71" s="116">
        <f t="shared" si="41"/>
        <v>133.5341151795369</v>
      </c>
      <c r="X71" s="114">
        <f t="shared" si="52"/>
        <v>43.53411517953691</v>
      </c>
      <c r="Y71" s="117">
        <f t="shared" si="53"/>
        <v>29.131139556755862</v>
      </c>
      <c r="Z71" s="124">
        <f t="shared" si="54"/>
        <v>50.310143863917524</v>
      </c>
      <c r="AA71" s="119">
        <f t="shared" si="55"/>
        <v>50.310143863917524</v>
      </c>
      <c r="AB71" s="120">
        <f t="shared" si="56"/>
        <v>0.6386315900657852</v>
      </c>
      <c r="AC71" s="120">
        <f t="shared" si="57"/>
        <v>0.6721752690625954</v>
      </c>
      <c r="AD71" s="120">
        <f t="shared" si="58"/>
        <v>0.37460659341591196</v>
      </c>
      <c r="AE71" s="121">
        <f t="shared" si="59"/>
        <v>90</v>
      </c>
      <c r="AF71" s="119">
        <f t="shared" si="60"/>
        <v>21.999999999999996</v>
      </c>
      <c r="AG71" s="120">
        <f t="shared" si="61"/>
        <v>7.287330437049168E-05</v>
      </c>
      <c r="AH71" s="104">
        <v>110</v>
      </c>
      <c r="AI71" s="105">
        <v>115</v>
      </c>
      <c r="AJ71" s="125"/>
      <c r="AK71" s="179"/>
      <c r="AL71" s="116"/>
      <c r="AM71" s="114"/>
      <c r="AN71" s="117"/>
      <c r="AO71" s="121"/>
      <c r="AP71" s="124"/>
      <c r="AQ71" s="121"/>
      <c r="AR71" s="127"/>
    </row>
    <row r="72" spans="1:44" ht="15">
      <c r="A72" s="104" t="s">
        <v>139</v>
      </c>
      <c r="B72" s="105" t="s">
        <v>138</v>
      </c>
      <c r="C72" s="105" t="s">
        <v>161</v>
      </c>
      <c r="D72" s="106">
        <v>4</v>
      </c>
      <c r="E72" s="181" t="s">
        <v>47</v>
      </c>
      <c r="F72" s="105">
        <f>527.725+(I72/100)</f>
        <v>529.065</v>
      </c>
      <c r="G72" s="105">
        <f>527.725+(J72/100)</f>
        <v>529.115</v>
      </c>
      <c r="H72" s="182">
        <f t="shared" si="45"/>
        <v>529.09</v>
      </c>
      <c r="I72" s="110">
        <v>134</v>
      </c>
      <c r="J72" s="111">
        <v>139</v>
      </c>
      <c r="K72" s="105">
        <f t="shared" si="46"/>
        <v>136.5</v>
      </c>
      <c r="L72" s="104">
        <v>270</v>
      </c>
      <c r="M72" s="105">
        <v>46</v>
      </c>
      <c r="N72" s="105">
        <v>351</v>
      </c>
      <c r="O72" s="105">
        <v>0</v>
      </c>
      <c r="P72" s="105"/>
      <c r="Q72" s="106"/>
      <c r="R72" s="113">
        <f t="shared" si="47"/>
        <v>0.11252953684812354</v>
      </c>
      <c r="S72" s="113">
        <f t="shared" si="48"/>
        <v>0.71048353372052</v>
      </c>
      <c r="T72" s="113">
        <f t="shared" si="49"/>
        <v>0.6861059731991695</v>
      </c>
      <c r="U72" s="114">
        <f t="shared" si="50"/>
        <v>80.99999999999999</v>
      </c>
      <c r="V72" s="149">
        <f t="shared" si="51"/>
        <v>43.64540967693251</v>
      </c>
      <c r="W72" s="116">
        <f t="shared" si="41"/>
        <v>261</v>
      </c>
      <c r="X72" s="114">
        <f t="shared" si="52"/>
        <v>171</v>
      </c>
      <c r="Y72" s="117">
        <f t="shared" si="53"/>
        <v>46.35459032306749</v>
      </c>
      <c r="Z72" s="124">
        <f t="shared" si="54"/>
        <v>96.23856673238781</v>
      </c>
      <c r="AA72" s="119">
        <f t="shared" si="55"/>
        <v>96.23856673238781</v>
      </c>
      <c r="AB72" s="120">
        <f t="shared" si="56"/>
        <v>-0.10866851056847178</v>
      </c>
      <c r="AC72" s="120">
        <f t="shared" si="57"/>
        <v>0.6861059731991695</v>
      </c>
      <c r="AD72" s="120">
        <f t="shared" si="58"/>
        <v>0.7193398003386511</v>
      </c>
      <c r="AE72" s="121">
        <f t="shared" si="59"/>
        <v>270</v>
      </c>
      <c r="AF72" s="119">
        <f t="shared" si="60"/>
        <v>46</v>
      </c>
      <c r="AG72" s="120">
        <f t="shared" si="61"/>
        <v>-2.3811177371992863E-05</v>
      </c>
      <c r="AH72" s="104">
        <v>134</v>
      </c>
      <c r="AI72" s="105">
        <v>140</v>
      </c>
      <c r="AJ72" s="125"/>
      <c r="AK72" s="179"/>
      <c r="AL72" s="116"/>
      <c r="AM72" s="114"/>
      <c r="AN72" s="117"/>
      <c r="AO72" s="121"/>
      <c r="AP72" s="124"/>
      <c r="AQ72" s="121"/>
      <c r="AR72" s="127"/>
    </row>
    <row r="73" spans="1:45" ht="15">
      <c r="A73" s="104" t="s">
        <v>139</v>
      </c>
      <c r="B73" s="105" t="s">
        <v>138</v>
      </c>
      <c r="C73" s="105" t="s">
        <v>161</v>
      </c>
      <c r="D73" s="106">
        <v>5</v>
      </c>
      <c r="E73" s="181" t="s">
        <v>47</v>
      </c>
      <c r="F73" s="105">
        <f>529.13+(I73/100)</f>
        <v>530.31</v>
      </c>
      <c r="G73" s="105">
        <f>529.13+(J73/100)</f>
        <v>530.32</v>
      </c>
      <c r="H73" s="182">
        <f t="shared" si="45"/>
        <v>530.315</v>
      </c>
      <c r="I73" s="110">
        <v>118</v>
      </c>
      <c r="J73" s="111">
        <v>119</v>
      </c>
      <c r="K73" s="105">
        <f t="shared" si="46"/>
        <v>118.5</v>
      </c>
      <c r="L73" s="104">
        <v>90</v>
      </c>
      <c r="M73" s="105">
        <v>4</v>
      </c>
      <c r="N73" s="105">
        <v>0</v>
      </c>
      <c r="O73" s="105">
        <v>6</v>
      </c>
      <c r="P73" s="105"/>
      <c r="Q73" s="106"/>
      <c r="R73" s="113">
        <f t="shared" si="47"/>
        <v>0.10427383718471564</v>
      </c>
      <c r="S73" s="113">
        <f t="shared" si="48"/>
        <v>0.06937434048221469</v>
      </c>
      <c r="T73" s="113">
        <f t="shared" si="49"/>
        <v>-0.9920992900156518</v>
      </c>
      <c r="U73" s="114">
        <f t="shared" si="50"/>
        <v>33.63618705852535</v>
      </c>
      <c r="V73" s="149">
        <f t="shared" si="51"/>
        <v>-82.80501343661278</v>
      </c>
      <c r="W73" s="116">
        <f t="shared" si="41"/>
        <v>33.63618705852535</v>
      </c>
      <c r="X73" s="114">
        <f t="shared" si="52"/>
        <v>303.63618705852537</v>
      </c>
      <c r="Y73" s="117">
        <f t="shared" si="53"/>
        <v>7.194986563387218</v>
      </c>
      <c r="Z73" s="124">
        <f t="shared" si="54"/>
        <v>146.1546049421881</v>
      </c>
      <c r="AA73" s="119">
        <f t="shared" si="55"/>
        <v>146.1546049421881</v>
      </c>
      <c r="AB73" s="120">
        <f t="shared" si="56"/>
        <v>-0.8305434592579969</v>
      </c>
      <c r="AC73" s="120">
        <f t="shared" si="57"/>
        <v>0.5525681828105425</v>
      </c>
      <c r="AD73" s="120">
        <f t="shared" si="58"/>
        <v>0.0697564737441251</v>
      </c>
      <c r="AE73" s="121">
        <f t="shared" si="59"/>
        <v>90</v>
      </c>
      <c r="AF73" s="119">
        <f t="shared" si="60"/>
        <v>3.999999999999988</v>
      </c>
      <c r="AG73" s="120">
        <f t="shared" si="61"/>
        <v>-1.76476263214761E-05</v>
      </c>
      <c r="AH73" s="104">
        <v>117</v>
      </c>
      <c r="AI73" s="105">
        <v>128</v>
      </c>
      <c r="AJ73" s="125"/>
      <c r="AK73" s="179"/>
      <c r="AL73" s="116"/>
      <c r="AM73" s="114"/>
      <c r="AN73" s="117"/>
      <c r="AO73" s="121"/>
      <c r="AP73" s="124"/>
      <c r="AQ73" s="121"/>
      <c r="AR73" s="127"/>
      <c r="AS73" s="91" t="s">
        <v>107</v>
      </c>
    </row>
    <row r="74" spans="1:45" ht="15">
      <c r="A74" s="104" t="s">
        <v>139</v>
      </c>
      <c r="B74" s="105" t="s">
        <v>138</v>
      </c>
      <c r="C74" s="105" t="s">
        <v>161</v>
      </c>
      <c r="D74" s="106">
        <v>5</v>
      </c>
      <c r="E74" s="181" t="s">
        <v>47</v>
      </c>
      <c r="F74" s="105">
        <f>529.13+(I74/100)</f>
        <v>530.43</v>
      </c>
      <c r="G74" s="105">
        <f>529.13+(J74/100)</f>
        <v>530.49</v>
      </c>
      <c r="H74" s="182">
        <f t="shared" si="45"/>
        <v>530.46</v>
      </c>
      <c r="I74" s="110">
        <v>130</v>
      </c>
      <c r="J74" s="111">
        <v>136</v>
      </c>
      <c r="K74" s="105">
        <f t="shared" si="46"/>
        <v>133</v>
      </c>
      <c r="L74" s="104">
        <v>90</v>
      </c>
      <c r="M74" s="105">
        <v>6</v>
      </c>
      <c r="N74" s="105">
        <v>180</v>
      </c>
      <c r="O74" s="105">
        <v>12</v>
      </c>
      <c r="P74" s="105"/>
      <c r="Q74" s="106"/>
      <c r="R74" s="113">
        <f t="shared" si="47"/>
        <v>0.2067727288213004</v>
      </c>
      <c r="S74" s="113">
        <f t="shared" si="48"/>
        <v>-0.10224426555364698</v>
      </c>
      <c r="T74" s="113">
        <f t="shared" si="49"/>
        <v>0.9727892058317135</v>
      </c>
      <c r="U74" s="114">
        <f t="shared" si="50"/>
        <v>333.6886840703248</v>
      </c>
      <c r="V74" s="149">
        <f t="shared" si="51"/>
        <v>76.66024474081817</v>
      </c>
      <c r="W74" s="116">
        <f t="shared" si="41"/>
        <v>153.68868407032483</v>
      </c>
      <c r="X74" s="114">
        <f t="shared" si="52"/>
        <v>63.688684070324825</v>
      </c>
      <c r="Y74" s="117">
        <f t="shared" si="53"/>
        <v>13.339755259181828</v>
      </c>
      <c r="Z74" s="124">
        <f t="shared" si="54"/>
        <v>26.93912915743516</v>
      </c>
      <c r="AA74" s="119">
        <f t="shared" si="55"/>
        <v>26.93912915743516</v>
      </c>
      <c r="AB74" s="120">
        <f t="shared" si="56"/>
        <v>0.8914883392371197</v>
      </c>
      <c r="AC74" s="120">
        <f t="shared" si="57"/>
        <v>0.440820078230501</v>
      </c>
      <c r="AD74" s="120">
        <f t="shared" si="58"/>
        <v>0.10452846326765365</v>
      </c>
      <c r="AE74" s="121">
        <f t="shared" si="59"/>
        <v>89.99999999999999</v>
      </c>
      <c r="AF74" s="119">
        <f t="shared" si="60"/>
        <v>6.00000000000001</v>
      </c>
      <c r="AG74" s="120">
        <f t="shared" si="61"/>
        <v>2.8384889197319886E-05</v>
      </c>
      <c r="AH74" s="104">
        <v>135</v>
      </c>
      <c r="AI74" s="105">
        <v>137</v>
      </c>
      <c r="AJ74" s="125"/>
      <c r="AK74" s="179"/>
      <c r="AL74" s="116"/>
      <c r="AM74" s="114"/>
      <c r="AN74" s="117"/>
      <c r="AO74" s="121"/>
      <c r="AP74" s="124"/>
      <c r="AQ74" s="121"/>
      <c r="AR74" s="127"/>
      <c r="AS74" s="91" t="s">
        <v>107</v>
      </c>
    </row>
    <row r="75" spans="1:44" ht="15">
      <c r="A75" s="104" t="s">
        <v>139</v>
      </c>
      <c r="B75" s="105" t="s">
        <v>138</v>
      </c>
      <c r="C75" s="105" t="s">
        <v>161</v>
      </c>
      <c r="D75" s="106">
        <v>7</v>
      </c>
      <c r="E75" s="181" t="s">
        <v>47</v>
      </c>
      <c r="F75" s="105">
        <f>530.975+(I75/100)</f>
        <v>531.235</v>
      </c>
      <c r="G75" s="105">
        <f>530.97+(J75/100)</f>
        <v>531.23</v>
      </c>
      <c r="H75" s="182">
        <f t="shared" si="45"/>
        <v>531.2325000000001</v>
      </c>
      <c r="I75" s="110">
        <v>26</v>
      </c>
      <c r="J75" s="111">
        <v>26</v>
      </c>
      <c r="K75" s="105">
        <f t="shared" si="46"/>
        <v>26</v>
      </c>
      <c r="L75" s="104">
        <v>270</v>
      </c>
      <c r="M75" s="105">
        <v>16</v>
      </c>
      <c r="N75" s="105">
        <v>0</v>
      </c>
      <c r="O75" s="105">
        <v>18</v>
      </c>
      <c r="P75" s="105"/>
      <c r="Q75" s="106"/>
      <c r="R75" s="113">
        <f t="shared" si="47"/>
        <v>-0.29704620008662386</v>
      </c>
      <c r="S75" s="113">
        <f t="shared" si="48"/>
        <v>0.26214670338412294</v>
      </c>
      <c r="T75" s="113">
        <f t="shared" si="49"/>
        <v>0.9142141997870687</v>
      </c>
      <c r="U75" s="114">
        <f t="shared" si="50"/>
        <v>138.57122510275866</v>
      </c>
      <c r="V75" s="149">
        <f t="shared" si="51"/>
        <v>66.57030828421608</v>
      </c>
      <c r="W75" s="116">
        <f t="shared" si="41"/>
        <v>318.57122510275866</v>
      </c>
      <c r="X75" s="114">
        <f t="shared" si="52"/>
        <v>228.57122510275866</v>
      </c>
      <c r="Y75" s="117">
        <f t="shared" si="53"/>
        <v>23.429691715783918</v>
      </c>
      <c r="Z75" s="124">
        <f t="shared" si="54"/>
        <v>43.88491132769664</v>
      </c>
      <c r="AA75" s="119">
        <f t="shared" si="55"/>
        <v>43.88491132769664</v>
      </c>
      <c r="AB75" s="120">
        <f t="shared" si="56"/>
        <v>0.7207336919917253</v>
      </c>
      <c r="AC75" s="120">
        <f t="shared" si="57"/>
        <v>0.6360558098989348</v>
      </c>
      <c r="AD75" s="120">
        <f t="shared" si="58"/>
        <v>0.27563735581699883</v>
      </c>
      <c r="AE75" s="121">
        <f t="shared" si="59"/>
        <v>270</v>
      </c>
      <c r="AF75" s="119">
        <f t="shared" si="60"/>
        <v>15.999999999999977</v>
      </c>
      <c r="AG75" s="120">
        <f t="shared" si="61"/>
        <v>6.0513811199683924E-05</v>
      </c>
      <c r="AH75" s="104">
        <v>23</v>
      </c>
      <c r="AI75" s="105">
        <v>27</v>
      </c>
      <c r="AJ75" s="125"/>
      <c r="AK75" s="179"/>
      <c r="AL75" s="116"/>
      <c r="AM75" s="114"/>
      <c r="AN75" s="117"/>
      <c r="AO75" s="121"/>
      <c r="AP75" s="124"/>
      <c r="AQ75" s="121"/>
      <c r="AR75" s="127"/>
    </row>
    <row r="76" spans="1:44" ht="15">
      <c r="A76" s="104" t="s">
        <v>139</v>
      </c>
      <c r="B76" s="105" t="s">
        <v>138</v>
      </c>
      <c r="C76" s="105" t="s">
        <v>150</v>
      </c>
      <c r="D76" s="106">
        <v>1</v>
      </c>
      <c r="E76" s="181" t="s">
        <v>47</v>
      </c>
      <c r="F76" s="105">
        <f>533+(I76/100)</f>
        <v>533.33</v>
      </c>
      <c r="G76" s="105">
        <f>533+(J76/100)</f>
        <v>533.39</v>
      </c>
      <c r="H76" s="182">
        <f t="shared" si="45"/>
        <v>533.36</v>
      </c>
      <c r="I76" s="110">
        <v>33</v>
      </c>
      <c r="J76" s="111">
        <v>39</v>
      </c>
      <c r="K76" s="105">
        <f t="shared" si="46"/>
        <v>36</v>
      </c>
      <c r="L76" s="104">
        <v>90</v>
      </c>
      <c r="M76" s="105">
        <v>47</v>
      </c>
      <c r="N76" s="105">
        <v>87</v>
      </c>
      <c r="O76" s="105">
        <v>0</v>
      </c>
      <c r="P76" s="105">
        <v>23</v>
      </c>
      <c r="Q76" s="106">
        <v>270</v>
      </c>
      <c r="R76" s="113">
        <f t="shared" si="47"/>
        <v>-0.7303514067889876</v>
      </c>
      <c r="S76" s="113">
        <f t="shared" si="48"/>
        <v>0.038276095326056005</v>
      </c>
      <c r="T76" s="113">
        <f t="shared" si="49"/>
        <v>-0.03569303632999042</v>
      </c>
      <c r="U76" s="114">
        <f t="shared" si="50"/>
        <v>177</v>
      </c>
      <c r="V76" s="149">
        <f t="shared" si="51"/>
        <v>-2.794050245122842</v>
      </c>
      <c r="W76" s="116">
        <f aca="true" t="shared" si="63" ref="W76:W107">IF(T76&lt;0,U76,IF(U76+180&gt;=360,U76-180,U76+180))</f>
        <v>177</v>
      </c>
      <c r="X76" s="114">
        <f t="shared" si="52"/>
        <v>87</v>
      </c>
      <c r="Y76" s="117">
        <f t="shared" si="53"/>
        <v>87.20594975487715</v>
      </c>
      <c r="Z76" s="124">
        <f t="shared" si="54"/>
        <v>47.073179273278186</v>
      </c>
      <c r="AA76" s="119">
        <f t="shared" si="55"/>
        <v>70.07317927327819</v>
      </c>
      <c r="AB76" s="120">
        <f t="shared" si="56"/>
        <v>0.34081967116866796</v>
      </c>
      <c r="AC76" s="120">
        <f t="shared" si="57"/>
        <v>0.04582756072951243</v>
      </c>
      <c r="AD76" s="120">
        <f t="shared" si="58"/>
        <v>0.9390110683171226</v>
      </c>
      <c r="AE76" s="121">
        <f t="shared" si="59"/>
        <v>94.65821615732467</v>
      </c>
      <c r="AF76" s="119">
        <f t="shared" si="60"/>
        <v>69.8861359818898</v>
      </c>
      <c r="AG76" s="120">
        <f t="shared" si="61"/>
        <v>9.748282288102734E-05</v>
      </c>
      <c r="AH76" s="104">
        <v>30</v>
      </c>
      <c r="AI76" s="105">
        <v>43</v>
      </c>
      <c r="AJ76" s="151">
        <v>122.9</v>
      </c>
      <c r="AK76" s="153">
        <v>56.1</v>
      </c>
      <c r="AL76" s="159">
        <f>IF(AK76&gt;=0,IF(W76&gt;=AJ76,W76-AJ76,W76-AJ76+360),IF((W76-AJ76-180)&lt;0,IF(W76-AJ76+180&lt;0,W76-AJ76+540,W76-AJ76+180),W76-AJ76-180))</f>
        <v>54.099999999999994</v>
      </c>
      <c r="AM76" s="149">
        <f>IF(AL76-90&lt;0,AL76+270,AL76-90)</f>
        <v>324.1</v>
      </c>
      <c r="AN76" s="115">
        <f>Y76</f>
        <v>87.20594975487715</v>
      </c>
      <c r="AO76" s="121">
        <f>AA76</f>
        <v>70.07317927327819</v>
      </c>
      <c r="AP76" s="161">
        <f>IF(AK76&gt;=0,IF(AE76&gt;=AJ76,AE76-AJ76,AE76-AJ76+360),IF((AE76-AJ76-180)&lt;0,IF(AE76-AJ76+180&lt;0,AE76-AJ76+540,AE76-AJ76+180),AE76-AJ76-180))</f>
        <v>331.7582161573247</v>
      </c>
      <c r="AQ76" s="121">
        <f>AF76</f>
        <v>69.8861359818898</v>
      </c>
      <c r="AR76" s="127"/>
    </row>
    <row r="77" spans="1:44" ht="15">
      <c r="A77" s="104" t="s">
        <v>139</v>
      </c>
      <c r="B77" s="105" t="s">
        <v>138</v>
      </c>
      <c r="C77" s="105" t="s">
        <v>150</v>
      </c>
      <c r="D77" s="106">
        <v>1</v>
      </c>
      <c r="E77" s="181" t="s">
        <v>47</v>
      </c>
      <c r="F77" s="105">
        <f>533+(I77/100)</f>
        <v>534.17</v>
      </c>
      <c r="G77" s="105">
        <f>533+(J77/100)</f>
        <v>534.3</v>
      </c>
      <c r="H77" s="182">
        <f t="shared" si="45"/>
        <v>534.2349999999999</v>
      </c>
      <c r="I77" s="110">
        <v>117</v>
      </c>
      <c r="J77" s="111">
        <v>130</v>
      </c>
      <c r="K77" s="105">
        <f t="shared" si="46"/>
        <v>123.5</v>
      </c>
      <c r="L77" s="104">
        <v>90</v>
      </c>
      <c r="M77" s="105">
        <v>81</v>
      </c>
      <c r="N77" s="105">
        <v>351</v>
      </c>
      <c r="O77" s="105">
        <v>0</v>
      </c>
      <c r="P77" s="105">
        <v>1</v>
      </c>
      <c r="Q77" s="106">
        <v>270</v>
      </c>
      <c r="R77" s="113">
        <f t="shared" si="47"/>
        <v>0.15450849718747398</v>
      </c>
      <c r="S77" s="113">
        <f t="shared" si="48"/>
        <v>0.9755282581475767</v>
      </c>
      <c r="T77" s="113">
        <f t="shared" si="49"/>
        <v>-0.15450849718747375</v>
      </c>
      <c r="U77" s="114">
        <f t="shared" si="50"/>
        <v>80.99999999999999</v>
      </c>
      <c r="V77" s="149">
        <f t="shared" si="51"/>
        <v>-8.890976044035531</v>
      </c>
      <c r="W77" s="116">
        <f t="shared" si="63"/>
        <v>80.99999999999999</v>
      </c>
      <c r="X77" s="114">
        <f t="shared" si="52"/>
        <v>351</v>
      </c>
      <c r="Y77" s="117">
        <f t="shared" si="53"/>
        <v>81.10902395596447</v>
      </c>
      <c r="Z77" s="124">
        <f t="shared" si="54"/>
        <v>91.4022675109908</v>
      </c>
      <c r="AA77" s="119">
        <f t="shared" si="55"/>
        <v>92.4022675109908</v>
      </c>
      <c r="AB77" s="120">
        <f t="shared" si="56"/>
        <v>-0.04191519451454433</v>
      </c>
      <c r="AC77" s="120">
        <f t="shared" si="57"/>
        <v>0.15441895587139948</v>
      </c>
      <c r="AD77" s="120">
        <f t="shared" si="58"/>
        <v>0.9871159519207431</v>
      </c>
      <c r="AE77" s="121">
        <f t="shared" si="59"/>
        <v>96.1863480022726</v>
      </c>
      <c r="AF77" s="119">
        <f t="shared" si="60"/>
        <v>80.7927233354869</v>
      </c>
      <c r="AG77" s="120">
        <f t="shared" si="61"/>
        <v>-1.2602968997508732E-05</v>
      </c>
      <c r="AH77" s="104">
        <v>118</v>
      </c>
      <c r="AI77" s="105">
        <v>128</v>
      </c>
      <c r="AJ77" s="151">
        <v>210.8</v>
      </c>
      <c r="AK77" s="153">
        <v>51.6</v>
      </c>
      <c r="AL77" s="159">
        <f>IF(AK77&gt;=0,IF(W77&gt;=AJ77,W77-AJ77,W77-AJ77+360),IF((W77-AJ77-180)&lt;0,IF(W77-AJ77+180&lt;0,W77-AJ77+540,W77-AJ77+180),W77-AJ77-180))</f>
        <v>230.2</v>
      </c>
      <c r="AM77" s="149">
        <f>IF(AL77-90&lt;0,AL77+270,AL77-90)</f>
        <v>140.2</v>
      </c>
      <c r="AN77" s="115">
        <f>Y77</f>
        <v>81.10902395596447</v>
      </c>
      <c r="AO77" s="121">
        <f>AA77</f>
        <v>92.4022675109908</v>
      </c>
      <c r="AP77" s="161">
        <f>IF(AK77&gt;=0,IF(AE77&gt;=AJ77,AE77-AJ77,AE77-AJ77+360),IF((AE77-AJ77-180)&lt;0,IF(AE77-AJ77+180&lt;0,AE77-AJ77+540,AE77-AJ77+180),AE77-AJ77-180))</f>
        <v>245.3863480022726</v>
      </c>
      <c r="AQ77" s="121">
        <f>AF77</f>
        <v>80.7927233354869</v>
      </c>
      <c r="AR77" s="127"/>
    </row>
    <row r="78" spans="1:44" ht="15">
      <c r="A78" s="104" t="s">
        <v>139</v>
      </c>
      <c r="B78" s="105" t="s">
        <v>138</v>
      </c>
      <c r="C78" s="105" t="s">
        <v>150</v>
      </c>
      <c r="D78" s="106">
        <v>3</v>
      </c>
      <c r="E78" s="181" t="s">
        <v>149</v>
      </c>
      <c r="F78" s="105">
        <f>535.845+(I78/100)</f>
        <v>536.5450000000001</v>
      </c>
      <c r="G78" s="105">
        <f>535.845+(J78/100)</f>
        <v>536.655</v>
      </c>
      <c r="H78" s="182">
        <f t="shared" si="45"/>
        <v>536.6</v>
      </c>
      <c r="I78" s="110">
        <v>70</v>
      </c>
      <c r="J78" s="111">
        <v>81</v>
      </c>
      <c r="K78" s="105">
        <f t="shared" si="46"/>
        <v>75.5</v>
      </c>
      <c r="L78" s="104">
        <v>90</v>
      </c>
      <c r="M78" s="105">
        <v>72</v>
      </c>
      <c r="N78" s="105">
        <v>344</v>
      </c>
      <c r="O78" s="105">
        <v>0</v>
      </c>
      <c r="P78" s="105"/>
      <c r="Q78" s="106"/>
      <c r="R78" s="113">
        <f t="shared" si="47"/>
        <v>0.2621467033841235</v>
      </c>
      <c r="S78" s="113">
        <f t="shared" si="48"/>
        <v>0.9142141997870685</v>
      </c>
      <c r="T78" s="113">
        <f t="shared" si="49"/>
        <v>-0.29704620008662386</v>
      </c>
      <c r="U78" s="114">
        <f t="shared" si="50"/>
        <v>73.99999999999997</v>
      </c>
      <c r="V78" s="149">
        <f t="shared" si="51"/>
        <v>-17.345299707296412</v>
      </c>
      <c r="W78" s="116">
        <f t="shared" si="63"/>
        <v>73.99999999999997</v>
      </c>
      <c r="X78" s="114">
        <f t="shared" si="52"/>
        <v>344</v>
      </c>
      <c r="Y78" s="117">
        <f t="shared" si="53"/>
        <v>72.65470029270358</v>
      </c>
      <c r="Z78" s="124">
        <f t="shared" si="54"/>
        <v>94.88618169919101</v>
      </c>
      <c r="AA78" s="119">
        <f t="shared" si="55"/>
        <v>94.88618169919101</v>
      </c>
      <c r="AB78" s="120">
        <f t="shared" si="56"/>
        <v>-0.08517662723202729</v>
      </c>
      <c r="AC78" s="120">
        <f t="shared" si="57"/>
        <v>0.2970462000866241</v>
      </c>
      <c r="AD78" s="120">
        <f t="shared" si="58"/>
        <v>0.9510565162951535</v>
      </c>
      <c r="AE78" s="121">
        <f t="shared" si="59"/>
        <v>90.00000000000003</v>
      </c>
      <c r="AF78" s="119">
        <f t="shared" si="60"/>
        <v>72</v>
      </c>
      <c r="AG78" s="120">
        <f t="shared" si="61"/>
        <v>-2.46752406152844E-05</v>
      </c>
      <c r="AH78" s="104"/>
      <c r="AI78" s="105"/>
      <c r="AJ78" s="151"/>
      <c r="AK78" s="153"/>
      <c r="AL78" s="159"/>
      <c r="AM78" s="149"/>
      <c r="AN78" s="115"/>
      <c r="AO78" s="121"/>
      <c r="AP78" s="161"/>
      <c r="AQ78" s="121"/>
      <c r="AR78" s="127"/>
    </row>
    <row r="79" spans="1:45" ht="15">
      <c r="A79" s="104" t="s">
        <v>139</v>
      </c>
      <c r="B79" s="105" t="s">
        <v>138</v>
      </c>
      <c r="C79" s="105" t="s">
        <v>150</v>
      </c>
      <c r="D79" s="106">
        <v>7</v>
      </c>
      <c r="E79" s="181" t="s">
        <v>172</v>
      </c>
      <c r="F79" s="105">
        <f aca="true" t="shared" si="64" ref="F79:G81">539.975+(I79/100)</f>
        <v>540.6750000000001</v>
      </c>
      <c r="G79" s="105">
        <f t="shared" si="64"/>
        <v>540.695</v>
      </c>
      <c r="H79" s="182">
        <f t="shared" si="45"/>
        <v>540.6850000000001</v>
      </c>
      <c r="I79" s="110">
        <v>70</v>
      </c>
      <c r="J79" s="111">
        <v>72</v>
      </c>
      <c r="K79" s="105">
        <f t="shared" si="46"/>
        <v>71</v>
      </c>
      <c r="L79" s="104">
        <v>90</v>
      </c>
      <c r="M79" s="105">
        <v>80</v>
      </c>
      <c r="N79" s="105">
        <v>40</v>
      </c>
      <c r="O79" s="105">
        <v>0</v>
      </c>
      <c r="P79" s="105"/>
      <c r="Q79" s="106"/>
      <c r="R79" s="113">
        <f t="shared" si="47"/>
        <v>-0.633022221559489</v>
      </c>
      <c r="S79" s="113">
        <f t="shared" si="48"/>
        <v>0.7544065067354889</v>
      </c>
      <c r="T79" s="113">
        <f t="shared" si="49"/>
        <v>-0.13302222155948906</v>
      </c>
      <c r="U79" s="114">
        <f t="shared" si="50"/>
        <v>130</v>
      </c>
      <c r="V79" s="149">
        <f t="shared" si="51"/>
        <v>-7.692628819245064</v>
      </c>
      <c r="W79" s="116">
        <f t="shared" si="63"/>
        <v>130</v>
      </c>
      <c r="X79" s="114">
        <f t="shared" si="52"/>
        <v>40</v>
      </c>
      <c r="Y79" s="117">
        <f t="shared" si="53"/>
        <v>82.30737118075494</v>
      </c>
      <c r="Z79" s="124">
        <f t="shared" si="54"/>
        <v>83.59135369018645</v>
      </c>
      <c r="AA79" s="119">
        <f t="shared" si="55"/>
        <v>83.59135369018645</v>
      </c>
      <c r="AB79" s="120">
        <f t="shared" si="56"/>
        <v>0.11161889704895002</v>
      </c>
      <c r="AC79" s="120">
        <f t="shared" si="57"/>
        <v>0.13302222155948917</v>
      </c>
      <c r="AD79" s="120">
        <f t="shared" si="58"/>
        <v>0.984807753012208</v>
      </c>
      <c r="AE79" s="121">
        <f t="shared" si="59"/>
        <v>89.99999999999994</v>
      </c>
      <c r="AF79" s="119">
        <f t="shared" si="60"/>
        <v>79.99999999999999</v>
      </c>
      <c r="AG79" s="120">
        <f t="shared" si="61"/>
        <v>3.348283802334336E-05</v>
      </c>
      <c r="AH79" s="104">
        <v>50</v>
      </c>
      <c r="AI79" s="105">
        <v>75</v>
      </c>
      <c r="AJ79" s="151"/>
      <c r="AK79" s="153"/>
      <c r="AL79" s="159"/>
      <c r="AM79" s="149"/>
      <c r="AN79" s="115"/>
      <c r="AO79" s="121"/>
      <c r="AP79" s="161"/>
      <c r="AQ79" s="121"/>
      <c r="AR79" s="127"/>
      <c r="AS79" s="91" t="s">
        <v>171</v>
      </c>
    </row>
    <row r="80" spans="1:45" ht="15">
      <c r="A80" s="104" t="s">
        <v>139</v>
      </c>
      <c r="B80" s="105" t="s">
        <v>138</v>
      </c>
      <c r="C80" s="105" t="s">
        <v>150</v>
      </c>
      <c r="D80" s="106">
        <v>7</v>
      </c>
      <c r="E80" s="181" t="s">
        <v>172</v>
      </c>
      <c r="F80" s="105">
        <f t="shared" si="64"/>
        <v>540.735</v>
      </c>
      <c r="G80" s="105">
        <f t="shared" si="64"/>
        <v>540.815</v>
      </c>
      <c r="H80" s="182">
        <f t="shared" si="45"/>
        <v>540.7750000000001</v>
      </c>
      <c r="I80" s="110">
        <v>76</v>
      </c>
      <c r="J80" s="111">
        <v>84</v>
      </c>
      <c r="K80" s="105">
        <f t="shared" si="46"/>
        <v>80</v>
      </c>
      <c r="L80" s="104">
        <v>90</v>
      </c>
      <c r="M80" s="105">
        <v>82</v>
      </c>
      <c r="N80" s="105">
        <v>20</v>
      </c>
      <c r="O80" s="105">
        <v>0</v>
      </c>
      <c r="P80" s="105"/>
      <c r="Q80" s="106"/>
      <c r="R80" s="113">
        <f t="shared" si="47"/>
        <v>-0.338691626801825</v>
      </c>
      <c r="S80" s="113">
        <f t="shared" si="48"/>
        <v>0.9305475967963662</v>
      </c>
      <c r="T80" s="113">
        <f t="shared" si="49"/>
        <v>-0.13077993598406595</v>
      </c>
      <c r="U80" s="114">
        <f t="shared" si="50"/>
        <v>110</v>
      </c>
      <c r="V80" s="149">
        <f t="shared" si="51"/>
        <v>-7.523241174659538</v>
      </c>
      <c r="W80" s="116">
        <f t="shared" si="63"/>
        <v>110</v>
      </c>
      <c r="X80" s="114">
        <f t="shared" si="52"/>
        <v>20</v>
      </c>
      <c r="Y80" s="117">
        <f t="shared" si="53"/>
        <v>82.47675882534047</v>
      </c>
      <c r="Z80" s="124">
        <f t="shared" si="54"/>
        <v>87.27168972451581</v>
      </c>
      <c r="AA80" s="119">
        <f t="shared" si="55"/>
        <v>87.27168972451581</v>
      </c>
      <c r="AB80" s="120">
        <f t="shared" si="56"/>
        <v>0.04760000393743964</v>
      </c>
      <c r="AC80" s="120">
        <f t="shared" si="57"/>
        <v>0.1307799359840659</v>
      </c>
      <c r="AD80" s="120">
        <f t="shared" si="58"/>
        <v>0.9902680687415703</v>
      </c>
      <c r="AE80" s="121">
        <f t="shared" si="59"/>
        <v>89.99999999999993</v>
      </c>
      <c r="AF80" s="119">
        <f t="shared" si="60"/>
        <v>81.99999999999997</v>
      </c>
      <c r="AG80" s="120">
        <f t="shared" si="61"/>
        <v>1.4357962912886491E-05</v>
      </c>
      <c r="AH80" s="104">
        <v>76</v>
      </c>
      <c r="AI80" s="105">
        <v>85</v>
      </c>
      <c r="AJ80" s="151"/>
      <c r="AK80" s="153"/>
      <c r="AL80" s="159"/>
      <c r="AM80" s="149"/>
      <c r="AN80" s="115"/>
      <c r="AO80" s="121"/>
      <c r="AP80" s="161"/>
      <c r="AQ80" s="121"/>
      <c r="AR80" s="127"/>
      <c r="AS80" s="91" t="s">
        <v>171</v>
      </c>
    </row>
    <row r="81" spans="1:45" ht="15">
      <c r="A81" s="104" t="s">
        <v>139</v>
      </c>
      <c r="B81" s="105" t="s">
        <v>138</v>
      </c>
      <c r="C81" s="105" t="s">
        <v>150</v>
      </c>
      <c r="D81" s="106">
        <v>7</v>
      </c>
      <c r="E81" s="181" t="s">
        <v>172</v>
      </c>
      <c r="F81" s="105">
        <f t="shared" si="64"/>
        <v>540.9250000000001</v>
      </c>
      <c r="G81" s="105">
        <f t="shared" si="64"/>
        <v>540.955</v>
      </c>
      <c r="H81" s="182">
        <f t="shared" si="45"/>
        <v>540.94</v>
      </c>
      <c r="I81" s="110">
        <v>95</v>
      </c>
      <c r="J81" s="111">
        <v>98</v>
      </c>
      <c r="K81" s="105">
        <f t="shared" si="46"/>
        <v>96.5</v>
      </c>
      <c r="L81" s="104">
        <v>270</v>
      </c>
      <c r="M81" s="105">
        <v>20</v>
      </c>
      <c r="N81" s="105">
        <v>320</v>
      </c>
      <c r="O81" s="105">
        <v>0</v>
      </c>
      <c r="P81" s="105"/>
      <c r="Q81" s="106"/>
      <c r="R81" s="113">
        <f t="shared" si="47"/>
        <v>0.21984631039295427</v>
      </c>
      <c r="S81" s="113">
        <f t="shared" si="48"/>
        <v>0.26200263022938486</v>
      </c>
      <c r="T81" s="113">
        <f t="shared" si="49"/>
        <v>0.7198463103929541</v>
      </c>
      <c r="U81" s="114">
        <f t="shared" si="50"/>
        <v>49.999999999999986</v>
      </c>
      <c r="V81" s="149">
        <f t="shared" si="51"/>
        <v>64.58623311995075</v>
      </c>
      <c r="W81" s="116">
        <f t="shared" si="63"/>
        <v>230</v>
      </c>
      <c r="X81" s="114">
        <f t="shared" si="52"/>
        <v>140</v>
      </c>
      <c r="Y81" s="117">
        <f t="shared" si="53"/>
        <v>25.413766880049252</v>
      </c>
      <c r="Z81" s="124">
        <f t="shared" si="54"/>
        <v>127.15855414405159</v>
      </c>
      <c r="AA81" s="119">
        <f t="shared" si="55"/>
        <v>127.15855414405159</v>
      </c>
      <c r="AB81" s="120">
        <f t="shared" si="56"/>
        <v>-0.6040227735550537</v>
      </c>
      <c r="AC81" s="120">
        <f t="shared" si="57"/>
        <v>0.7198463103929541</v>
      </c>
      <c r="AD81" s="120">
        <f t="shared" si="58"/>
        <v>0.34202014332566866</v>
      </c>
      <c r="AE81" s="121">
        <f t="shared" si="59"/>
        <v>270</v>
      </c>
      <c r="AF81" s="119">
        <f t="shared" si="60"/>
        <v>19.999999999999996</v>
      </c>
      <c r="AG81" s="120">
        <f t="shared" si="61"/>
        <v>-6.292875061092973E-05</v>
      </c>
      <c r="AH81" s="104">
        <v>95</v>
      </c>
      <c r="AI81" s="105">
        <v>111</v>
      </c>
      <c r="AJ81" s="151"/>
      <c r="AK81" s="153"/>
      <c r="AL81" s="159"/>
      <c r="AM81" s="149"/>
      <c r="AN81" s="115"/>
      <c r="AO81" s="121"/>
      <c r="AP81" s="161"/>
      <c r="AQ81" s="121"/>
      <c r="AR81" s="127"/>
      <c r="AS81" s="91" t="s">
        <v>171</v>
      </c>
    </row>
    <row r="82" spans="1:44" ht="15">
      <c r="A82" s="104" t="s">
        <v>139</v>
      </c>
      <c r="B82" s="105" t="s">
        <v>138</v>
      </c>
      <c r="C82" s="105" t="s">
        <v>160</v>
      </c>
      <c r="D82" s="106">
        <v>1</v>
      </c>
      <c r="E82" s="181" t="s">
        <v>47</v>
      </c>
      <c r="F82" s="105">
        <f>542.5+(I82/100)</f>
        <v>543.12</v>
      </c>
      <c r="G82" s="105">
        <f>542.5+(J82/100)</f>
        <v>543.29</v>
      </c>
      <c r="H82" s="182">
        <f t="shared" si="45"/>
        <v>543.2049999999999</v>
      </c>
      <c r="I82" s="110">
        <v>62</v>
      </c>
      <c r="J82" s="111">
        <v>79</v>
      </c>
      <c r="K82" s="105">
        <f t="shared" si="46"/>
        <v>70.5</v>
      </c>
      <c r="L82" s="104">
        <v>270</v>
      </c>
      <c r="M82" s="105">
        <v>19</v>
      </c>
      <c r="N82" s="105">
        <v>8</v>
      </c>
      <c r="O82" s="105">
        <v>0</v>
      </c>
      <c r="P82" s="105">
        <v>55</v>
      </c>
      <c r="Q82" s="106">
        <v>270</v>
      </c>
      <c r="R82" s="113">
        <f t="shared" si="47"/>
        <v>-0.04531032962964804</v>
      </c>
      <c r="S82" s="113">
        <f t="shared" si="48"/>
        <v>0.3223997475580458</v>
      </c>
      <c r="T82" s="113">
        <f t="shared" si="49"/>
        <v>0.936316853818016</v>
      </c>
      <c r="U82" s="114">
        <f t="shared" si="50"/>
        <v>98</v>
      </c>
      <c r="V82" s="149">
        <f t="shared" si="51"/>
        <v>70.82684804693949</v>
      </c>
      <c r="W82" s="116">
        <f t="shared" si="63"/>
        <v>278</v>
      </c>
      <c r="X82" s="114">
        <f t="shared" si="52"/>
        <v>188</v>
      </c>
      <c r="Y82" s="117">
        <f t="shared" si="53"/>
        <v>19.17315195306051</v>
      </c>
      <c r="Z82" s="124">
        <f t="shared" si="54"/>
        <v>82.43847452471354</v>
      </c>
      <c r="AA82" s="119">
        <f t="shared" si="55"/>
        <v>137.43847452471354</v>
      </c>
      <c r="AB82" s="120">
        <f t="shared" si="56"/>
        <v>-0.7365514481671975</v>
      </c>
      <c r="AC82" s="120">
        <f t="shared" si="57"/>
        <v>0.6388628892735375</v>
      </c>
      <c r="AD82" s="120">
        <f t="shared" si="58"/>
        <v>0.2221399849461412</v>
      </c>
      <c r="AE82" s="121">
        <f t="shared" si="59"/>
        <v>327.0626004262748</v>
      </c>
      <c r="AF82" s="119">
        <f t="shared" si="60"/>
        <v>12.834755768261997</v>
      </c>
      <c r="AG82" s="120">
        <f t="shared" si="61"/>
        <v>-4.9839251482698586E-05</v>
      </c>
      <c r="AH82" s="104">
        <v>63</v>
      </c>
      <c r="AI82" s="105">
        <v>79</v>
      </c>
      <c r="AJ82" s="151">
        <v>220.3</v>
      </c>
      <c r="AK82" s="153">
        <v>62.8</v>
      </c>
      <c r="AL82" s="159">
        <f>IF(AK82&gt;=0,IF(W82&gt;=AJ82,W82-AJ82,W82-AJ82+360),IF((W82-AJ82-180)&lt;0,IF(W82-AJ82+180&lt;0,W82-AJ82+540,W82-AJ82+180),W82-AJ82-180))</f>
        <v>57.69999999999999</v>
      </c>
      <c r="AM82" s="149">
        <f>IF(AL82-90&lt;0,AL82+270,AL82-90)</f>
        <v>327.7</v>
      </c>
      <c r="AN82" s="115">
        <f>Y82</f>
        <v>19.17315195306051</v>
      </c>
      <c r="AO82" s="121">
        <f>AA82</f>
        <v>137.43847452471354</v>
      </c>
      <c r="AP82" s="161">
        <f>IF(AK82&gt;=0,IF(AE82&gt;=AJ82,AE82-AJ82,AE82-AJ82+360),IF((AE82-AJ82-180)&lt;0,IF(AE82-AJ82+180&lt;0,AE82-AJ82+540,AE82-AJ82+180),AE82-AJ82-180))</f>
        <v>106.76260042627479</v>
      </c>
      <c r="AQ82" s="121">
        <f>AF82</f>
        <v>12.834755768261997</v>
      </c>
      <c r="AR82" s="127"/>
    </row>
    <row r="83" spans="1:44" ht="15">
      <c r="A83" s="104" t="s">
        <v>139</v>
      </c>
      <c r="B83" s="105" t="s">
        <v>138</v>
      </c>
      <c r="C83" s="105" t="s">
        <v>160</v>
      </c>
      <c r="D83" s="106">
        <v>1</v>
      </c>
      <c r="E83" s="181" t="s">
        <v>48</v>
      </c>
      <c r="F83" s="105">
        <f>542.5+(I83/100)</f>
        <v>543.71</v>
      </c>
      <c r="G83" s="105">
        <f>542.5+(J83/100)</f>
        <v>543.72</v>
      </c>
      <c r="H83" s="182">
        <f t="shared" si="45"/>
        <v>543.715</v>
      </c>
      <c r="I83" s="110">
        <v>121</v>
      </c>
      <c r="J83" s="111">
        <v>122</v>
      </c>
      <c r="K83" s="105">
        <f t="shared" si="46"/>
        <v>121.5</v>
      </c>
      <c r="L83" s="104">
        <v>270</v>
      </c>
      <c r="M83" s="105">
        <v>12</v>
      </c>
      <c r="N83" s="105">
        <v>180</v>
      </c>
      <c r="O83" s="105">
        <v>7</v>
      </c>
      <c r="P83" s="105"/>
      <c r="Q83" s="106"/>
      <c r="R83" s="113">
        <f t="shared" si="47"/>
        <v>-0.11920620585474928</v>
      </c>
      <c r="S83" s="113">
        <f t="shared" si="48"/>
        <v>-0.20636194860240736</v>
      </c>
      <c r="T83" s="113">
        <f t="shared" si="49"/>
        <v>-0.9708566368455311</v>
      </c>
      <c r="U83" s="114">
        <f t="shared" si="50"/>
        <v>239.98686640841757</v>
      </c>
      <c r="V83" s="149">
        <f t="shared" si="51"/>
        <v>-76.20820774763338</v>
      </c>
      <c r="W83" s="116">
        <f t="shared" si="63"/>
        <v>239.98686640841757</v>
      </c>
      <c r="X83" s="114">
        <f t="shared" si="52"/>
        <v>149.98686640841757</v>
      </c>
      <c r="Y83" s="117">
        <f t="shared" si="53"/>
        <v>13.79179225236662</v>
      </c>
      <c r="Z83" s="124">
        <f t="shared" si="54"/>
        <v>119.29247830168968</v>
      </c>
      <c r="AA83" s="119">
        <f t="shared" si="55"/>
        <v>119.29247830168968</v>
      </c>
      <c r="AB83" s="120">
        <f t="shared" si="56"/>
        <v>-0.4892679636726409</v>
      </c>
      <c r="AC83" s="120">
        <f t="shared" si="57"/>
        <v>0.8469885409761619</v>
      </c>
      <c r="AD83" s="120">
        <f t="shared" si="58"/>
        <v>0.20791169081775962</v>
      </c>
      <c r="AE83" s="121">
        <f t="shared" si="59"/>
        <v>270</v>
      </c>
      <c r="AF83" s="119">
        <f t="shared" si="60"/>
        <v>12.000000000000018</v>
      </c>
      <c r="AG83" s="120">
        <f t="shared" si="61"/>
        <v>-3.098661913233867E-05</v>
      </c>
      <c r="AH83" s="104">
        <v>120</v>
      </c>
      <c r="AI83" s="105">
        <v>123</v>
      </c>
      <c r="AJ83" s="125"/>
      <c r="AK83" s="179"/>
      <c r="AL83" s="116"/>
      <c r="AM83" s="114"/>
      <c r="AN83" s="117"/>
      <c r="AO83" s="121"/>
      <c r="AP83" s="124"/>
      <c r="AQ83" s="121"/>
      <c r="AR83" s="127"/>
    </row>
    <row r="84" spans="1:44" ht="15">
      <c r="A84" s="104" t="s">
        <v>139</v>
      </c>
      <c r="B84" s="105" t="s">
        <v>138</v>
      </c>
      <c r="C84" s="105" t="s">
        <v>160</v>
      </c>
      <c r="D84" s="106">
        <v>4</v>
      </c>
      <c r="E84" s="181" t="s">
        <v>48</v>
      </c>
      <c r="F84" s="105">
        <f>545.23+(I84/100)</f>
        <v>545.36</v>
      </c>
      <c r="G84" s="105">
        <f>545.23+(J84/100)</f>
        <v>545.36</v>
      </c>
      <c r="H84" s="182">
        <f t="shared" si="45"/>
        <v>545.36</v>
      </c>
      <c r="I84" s="110">
        <v>13</v>
      </c>
      <c r="J84" s="111">
        <v>13</v>
      </c>
      <c r="K84" s="105">
        <f t="shared" si="46"/>
        <v>13</v>
      </c>
      <c r="L84" s="104">
        <v>90</v>
      </c>
      <c r="M84" s="105">
        <v>1</v>
      </c>
      <c r="N84" s="105">
        <v>180</v>
      </c>
      <c r="O84" s="105">
        <v>12</v>
      </c>
      <c r="P84" s="105"/>
      <c r="Q84" s="106"/>
      <c r="R84" s="113">
        <f t="shared" si="47"/>
        <v>0.20788002486020488</v>
      </c>
      <c r="S84" s="113">
        <f t="shared" si="48"/>
        <v>-0.017071029483660106</v>
      </c>
      <c r="T84" s="113">
        <f t="shared" si="49"/>
        <v>0.9779986241164497</v>
      </c>
      <c r="U84" s="114">
        <f t="shared" si="50"/>
        <v>355.305426045184</v>
      </c>
      <c r="V84" s="149">
        <f t="shared" si="51"/>
        <v>77.96078282984094</v>
      </c>
      <c r="W84" s="116">
        <f t="shared" si="63"/>
        <v>175.305426045184</v>
      </c>
      <c r="X84" s="114">
        <f t="shared" si="52"/>
        <v>85.30542604518399</v>
      </c>
      <c r="Y84" s="117">
        <f t="shared" si="53"/>
        <v>12.039217170159063</v>
      </c>
      <c r="Z84" s="124">
        <f t="shared" si="54"/>
        <v>4.799665170200124</v>
      </c>
      <c r="AA84" s="119">
        <f t="shared" si="55"/>
        <v>4.799665170200124</v>
      </c>
      <c r="AB84" s="120">
        <f t="shared" si="56"/>
        <v>0.9964933482359681</v>
      </c>
      <c r="AC84" s="120">
        <f t="shared" si="57"/>
        <v>0.08183165909974811</v>
      </c>
      <c r="AD84" s="120">
        <f t="shared" si="58"/>
        <v>0.01745240643728357</v>
      </c>
      <c r="AE84" s="121">
        <f t="shared" si="59"/>
        <v>90</v>
      </c>
      <c r="AF84" s="119">
        <f t="shared" si="60"/>
        <v>1.0000000000000033</v>
      </c>
      <c r="AG84" s="120">
        <f t="shared" si="61"/>
        <v>5.297397425572608E-06</v>
      </c>
      <c r="AH84" s="104"/>
      <c r="AI84" s="105"/>
      <c r="AJ84" s="125"/>
      <c r="AK84" s="179"/>
      <c r="AL84" s="116"/>
      <c r="AM84" s="114"/>
      <c r="AN84" s="117"/>
      <c r="AO84" s="121"/>
      <c r="AP84" s="124"/>
      <c r="AQ84" s="121"/>
      <c r="AR84" s="127"/>
    </row>
    <row r="85" spans="1:45" ht="15">
      <c r="A85" s="104" t="s">
        <v>139</v>
      </c>
      <c r="B85" s="105" t="s">
        <v>138</v>
      </c>
      <c r="C85" s="105" t="s">
        <v>141</v>
      </c>
      <c r="D85" s="106">
        <v>1</v>
      </c>
      <c r="E85" s="181" t="s">
        <v>47</v>
      </c>
      <c r="F85" s="105">
        <f aca="true" t="shared" si="65" ref="F85:G88">561.5+(I85/100)</f>
        <v>562.15</v>
      </c>
      <c r="G85" s="105">
        <f t="shared" si="65"/>
        <v>562.25</v>
      </c>
      <c r="H85" s="182">
        <f t="shared" si="45"/>
        <v>562.2</v>
      </c>
      <c r="I85" s="110">
        <v>65</v>
      </c>
      <c r="J85" s="111">
        <v>75</v>
      </c>
      <c r="K85" s="105">
        <f t="shared" si="46"/>
        <v>70</v>
      </c>
      <c r="L85" s="104">
        <v>270</v>
      </c>
      <c r="M85" s="105">
        <v>69</v>
      </c>
      <c r="N85" s="105">
        <v>340</v>
      </c>
      <c r="O85" s="105">
        <v>0</v>
      </c>
      <c r="P85" s="105">
        <v>7</v>
      </c>
      <c r="Q85" s="106">
        <v>270</v>
      </c>
      <c r="R85" s="113">
        <f t="shared" si="47"/>
        <v>0.31930331127661177</v>
      </c>
      <c r="S85" s="113">
        <f t="shared" si="48"/>
        <v>0.8772786376895817</v>
      </c>
      <c r="T85" s="113">
        <f t="shared" si="49"/>
        <v>0.3367557177138955</v>
      </c>
      <c r="U85" s="114">
        <f t="shared" si="50"/>
        <v>70</v>
      </c>
      <c r="V85" s="149">
        <f t="shared" si="51"/>
        <v>19.835093946383232</v>
      </c>
      <c r="W85" s="116">
        <f t="shared" si="63"/>
        <v>250</v>
      </c>
      <c r="X85" s="114">
        <f t="shared" si="52"/>
        <v>160</v>
      </c>
      <c r="Y85" s="117">
        <f t="shared" si="53"/>
        <v>70.16490605361676</v>
      </c>
      <c r="Z85" s="124">
        <f t="shared" si="54"/>
        <v>97.04039348811537</v>
      </c>
      <c r="AA85" s="119">
        <f t="shared" si="55"/>
        <v>104.04039348811537</v>
      </c>
      <c r="AB85" s="120">
        <f t="shared" si="56"/>
        <v>-0.24260589329239354</v>
      </c>
      <c r="AC85" s="120">
        <f t="shared" si="57"/>
        <v>0.32917711688301066</v>
      </c>
      <c r="AD85" s="120">
        <f t="shared" si="58"/>
        <v>0.9125704390677952</v>
      </c>
      <c r="AE85" s="121">
        <f t="shared" si="59"/>
        <v>286.3904806563652</v>
      </c>
      <c r="AF85" s="119">
        <f t="shared" si="60"/>
        <v>65.86301968026085</v>
      </c>
      <c r="AG85" s="120">
        <f t="shared" si="61"/>
        <v>-6.743771058395016E-05</v>
      </c>
      <c r="AH85" s="104">
        <v>67</v>
      </c>
      <c r="AI85" s="105">
        <v>103</v>
      </c>
      <c r="AJ85" s="151">
        <v>93.4</v>
      </c>
      <c r="AK85" s="153">
        <v>65.5</v>
      </c>
      <c r="AL85" s="159">
        <f>IF(AK85&gt;=0,IF(W85&gt;=AJ85,W85-AJ85,W85-AJ85+360),IF((W85-AJ85-180)&lt;0,IF(W85-AJ85+180&lt;0,W85-AJ85+540,W85-AJ85+180),W85-AJ85-180))</f>
        <v>156.6</v>
      </c>
      <c r="AM85" s="149">
        <f>IF(AL85-90&lt;0,AL85+270,AL85-90)</f>
        <v>66.6</v>
      </c>
      <c r="AN85" s="115">
        <f>Y85</f>
        <v>70.16490605361676</v>
      </c>
      <c r="AO85" s="121">
        <f>AA85</f>
        <v>104.04039348811537</v>
      </c>
      <c r="AP85" s="161">
        <f>IF(AK85&gt;=0,IF(AE85&gt;=AJ85,AE85-AJ85,AE85-AJ85+360),IF((AE85-AJ85-180)&lt;0,IF(AE85-AJ85+180&lt;0,AE85-AJ85+540,AE85-AJ85+180),AE85-AJ85-180))</f>
        <v>192.99048065636518</v>
      </c>
      <c r="AQ85" s="121">
        <f>AF85</f>
        <v>65.86301968026085</v>
      </c>
      <c r="AR85" s="127"/>
      <c r="AS85" s="91" t="s">
        <v>159</v>
      </c>
    </row>
    <row r="86" spans="1:45" ht="15">
      <c r="A86" s="104" t="s">
        <v>139</v>
      </c>
      <c r="B86" s="105" t="s">
        <v>138</v>
      </c>
      <c r="C86" s="105" t="s">
        <v>141</v>
      </c>
      <c r="D86" s="106">
        <v>1</v>
      </c>
      <c r="E86" s="181" t="s">
        <v>47</v>
      </c>
      <c r="F86" s="105">
        <f t="shared" si="65"/>
        <v>562.27</v>
      </c>
      <c r="G86" s="105">
        <f t="shared" si="65"/>
        <v>562.3</v>
      </c>
      <c r="H86" s="182">
        <f t="shared" si="45"/>
        <v>562.285</v>
      </c>
      <c r="I86" s="110">
        <v>77</v>
      </c>
      <c r="J86" s="111">
        <v>80</v>
      </c>
      <c r="K86" s="105">
        <f t="shared" si="46"/>
        <v>78.5</v>
      </c>
      <c r="L86" s="104">
        <v>270</v>
      </c>
      <c r="M86" s="105">
        <v>27</v>
      </c>
      <c r="N86" s="105">
        <v>0</v>
      </c>
      <c r="O86" s="105">
        <v>50</v>
      </c>
      <c r="P86" s="105"/>
      <c r="Q86" s="106"/>
      <c r="R86" s="113">
        <f t="shared" si="47"/>
        <v>-0.6825505966372545</v>
      </c>
      <c r="S86" s="113">
        <f t="shared" si="48"/>
        <v>0.2918194681479808</v>
      </c>
      <c r="T86" s="113">
        <f t="shared" si="49"/>
        <v>0.5727279538981527</v>
      </c>
      <c r="U86" s="114">
        <f t="shared" si="50"/>
        <v>156.85122772423026</v>
      </c>
      <c r="V86" s="149">
        <f t="shared" si="51"/>
        <v>37.65167190616014</v>
      </c>
      <c r="W86" s="116">
        <f t="shared" si="63"/>
        <v>336.8512277242303</v>
      </c>
      <c r="X86" s="114">
        <f t="shared" si="52"/>
        <v>246.85122772423028</v>
      </c>
      <c r="Y86" s="117">
        <f t="shared" si="53"/>
        <v>52.34832809383986</v>
      </c>
      <c r="Z86" s="124">
        <f t="shared" si="54"/>
        <v>34.988306622204306</v>
      </c>
      <c r="AA86" s="119">
        <f t="shared" si="55"/>
        <v>34.988306622204306</v>
      </c>
      <c r="AB86" s="120">
        <f t="shared" si="56"/>
        <v>0.8192690872637356</v>
      </c>
      <c r="AC86" s="120">
        <f t="shared" si="57"/>
        <v>0.350272449388019</v>
      </c>
      <c r="AD86" s="120">
        <f t="shared" si="58"/>
        <v>0.45399049973954664</v>
      </c>
      <c r="AE86" s="121">
        <f t="shared" si="59"/>
        <v>270</v>
      </c>
      <c r="AF86" s="119">
        <f t="shared" si="60"/>
        <v>26.99999999999999</v>
      </c>
      <c r="AG86" s="120">
        <f t="shared" si="61"/>
        <v>0.00011329447323905678</v>
      </c>
      <c r="AH86" s="104">
        <v>67</v>
      </c>
      <c r="AI86" s="105">
        <v>103</v>
      </c>
      <c r="AJ86" s="151">
        <v>93.4</v>
      </c>
      <c r="AK86" s="153">
        <v>65.5</v>
      </c>
      <c r="AL86" s="159">
        <f>IF(AK86&gt;=0,IF(W86&gt;=AJ86,W86-AJ86,W86-AJ86+360),IF((W86-AJ86-180)&lt;0,IF(W86-AJ86+180&lt;0,W86-AJ86+540,W86-AJ86+180),W86-AJ86-180))</f>
        <v>243.45122772423028</v>
      </c>
      <c r="AM86" s="149">
        <f>IF(AL86-90&lt;0,AL86+270,AL86-90)</f>
        <v>153.45122772423028</v>
      </c>
      <c r="AN86" s="115">
        <f>Y86</f>
        <v>52.34832809383986</v>
      </c>
      <c r="AO86" s="121"/>
      <c r="AP86" s="161"/>
      <c r="AQ86" s="121"/>
      <c r="AR86" s="127"/>
      <c r="AS86" s="91" t="s">
        <v>158</v>
      </c>
    </row>
    <row r="87" spans="1:45" ht="15">
      <c r="A87" s="104" t="s">
        <v>139</v>
      </c>
      <c r="B87" s="105" t="s">
        <v>138</v>
      </c>
      <c r="C87" s="105" t="s">
        <v>141</v>
      </c>
      <c r="D87" s="106">
        <v>1</v>
      </c>
      <c r="E87" s="181" t="s">
        <v>47</v>
      </c>
      <c r="F87" s="105">
        <f t="shared" si="65"/>
        <v>562.45</v>
      </c>
      <c r="G87" s="105">
        <f t="shared" si="65"/>
        <v>562.47</v>
      </c>
      <c r="H87" s="182">
        <f t="shared" si="45"/>
        <v>562.46</v>
      </c>
      <c r="I87" s="110">
        <v>95</v>
      </c>
      <c r="J87" s="111">
        <v>97</v>
      </c>
      <c r="K87" s="105">
        <f t="shared" si="46"/>
        <v>96</v>
      </c>
      <c r="L87" s="104">
        <v>270</v>
      </c>
      <c r="M87" s="105">
        <v>30</v>
      </c>
      <c r="N87" s="105">
        <v>0</v>
      </c>
      <c r="O87" s="105">
        <v>16</v>
      </c>
      <c r="P87" s="105"/>
      <c r="Q87" s="106"/>
      <c r="R87" s="113">
        <f t="shared" si="47"/>
        <v>-0.23870895236949172</v>
      </c>
      <c r="S87" s="113">
        <f t="shared" si="48"/>
        <v>0.48063084796915945</v>
      </c>
      <c r="T87" s="113">
        <f t="shared" si="49"/>
        <v>0.8324770483674969</v>
      </c>
      <c r="U87" s="114">
        <f t="shared" si="50"/>
        <v>116.41164105221353</v>
      </c>
      <c r="V87" s="149">
        <f t="shared" si="51"/>
        <v>57.1926934250774</v>
      </c>
      <c r="W87" s="116">
        <f t="shared" si="63"/>
        <v>296.41164105221355</v>
      </c>
      <c r="X87" s="114">
        <f t="shared" si="52"/>
        <v>206.41164105221355</v>
      </c>
      <c r="Y87" s="117">
        <f t="shared" si="53"/>
        <v>32.8073065749226</v>
      </c>
      <c r="Z87" s="124">
        <f t="shared" si="54"/>
        <v>67.3424175921372</v>
      </c>
      <c r="AA87" s="119">
        <f t="shared" si="55"/>
        <v>67.3424175921372</v>
      </c>
      <c r="AB87" s="120">
        <f t="shared" si="56"/>
        <v>0.3852229571050117</v>
      </c>
      <c r="AC87" s="120">
        <f t="shared" si="57"/>
        <v>0.7756308872906431</v>
      </c>
      <c r="AD87" s="120">
        <f t="shared" si="58"/>
        <v>0.5000000000000001</v>
      </c>
      <c r="AE87" s="121">
        <f t="shared" si="59"/>
        <v>270</v>
      </c>
      <c r="AF87" s="119">
        <f t="shared" si="60"/>
        <v>30.00000000000001</v>
      </c>
      <c r="AG87" s="120">
        <f t="shared" si="61"/>
        <v>5.867162488586679E-05</v>
      </c>
      <c r="AH87" s="104">
        <v>67</v>
      </c>
      <c r="AI87" s="105">
        <v>103</v>
      </c>
      <c r="AJ87" s="151">
        <v>93.4</v>
      </c>
      <c r="AK87" s="153">
        <v>65.5</v>
      </c>
      <c r="AL87" s="159">
        <f>IF(AK87&gt;=0,IF(W87&gt;=AJ87,W87-AJ87,W87-AJ87+360),IF((W87-AJ87-180)&lt;0,IF(W87-AJ87+180&lt;0,W87-AJ87+540,W87-AJ87+180),W87-AJ87-180))</f>
        <v>203.01164105221355</v>
      </c>
      <c r="AM87" s="149">
        <f>IF(AL87-90&lt;0,AL87+270,AL87-90)</f>
        <v>113.01164105221355</v>
      </c>
      <c r="AN87" s="115">
        <f>Y87</f>
        <v>32.8073065749226</v>
      </c>
      <c r="AO87" s="121"/>
      <c r="AP87" s="161"/>
      <c r="AQ87" s="121"/>
      <c r="AR87" s="127"/>
      <c r="AS87" s="91" t="s">
        <v>158</v>
      </c>
    </row>
    <row r="88" spans="1:45" ht="15">
      <c r="A88" s="104" t="s">
        <v>139</v>
      </c>
      <c r="B88" s="105" t="s">
        <v>138</v>
      </c>
      <c r="C88" s="105" t="s">
        <v>141</v>
      </c>
      <c r="D88" s="106">
        <v>1</v>
      </c>
      <c r="E88" s="181" t="s">
        <v>47</v>
      </c>
      <c r="F88" s="105">
        <f t="shared" si="65"/>
        <v>562.5</v>
      </c>
      <c r="G88" s="105">
        <f t="shared" si="65"/>
        <v>562.78</v>
      </c>
      <c r="H88" s="182">
        <f t="shared" si="45"/>
        <v>562.64</v>
      </c>
      <c r="I88" s="110">
        <v>100</v>
      </c>
      <c r="J88" s="111">
        <v>128</v>
      </c>
      <c r="K88" s="105">
        <f t="shared" si="46"/>
        <v>114</v>
      </c>
      <c r="L88" s="104">
        <v>270</v>
      </c>
      <c r="M88" s="105">
        <v>82</v>
      </c>
      <c r="N88" s="105">
        <v>353</v>
      </c>
      <c r="O88" s="105">
        <v>0</v>
      </c>
      <c r="P88" s="105"/>
      <c r="Q88" s="106"/>
      <c r="R88" s="113">
        <f t="shared" si="47"/>
        <v>0.12068331933261925</v>
      </c>
      <c r="S88" s="113">
        <f t="shared" si="48"/>
        <v>0.9828867607227296</v>
      </c>
      <c r="T88" s="113">
        <f t="shared" si="49"/>
        <v>0.13813572576990238</v>
      </c>
      <c r="U88" s="114">
        <f t="shared" si="50"/>
        <v>82.99999999999997</v>
      </c>
      <c r="V88" s="149">
        <f t="shared" si="51"/>
        <v>7.941132740539305</v>
      </c>
      <c r="W88" s="116">
        <f t="shared" si="63"/>
        <v>263</v>
      </c>
      <c r="X88" s="114">
        <f t="shared" si="52"/>
        <v>173</v>
      </c>
      <c r="Y88" s="117">
        <f t="shared" si="53"/>
        <v>82.0588672594607</v>
      </c>
      <c r="Z88" s="124">
        <f t="shared" si="54"/>
        <v>90.97183655868314</v>
      </c>
      <c r="AA88" s="119">
        <f t="shared" si="55"/>
        <v>90.97183655868314</v>
      </c>
      <c r="AB88" s="120">
        <f t="shared" si="56"/>
        <v>-0.01696093443366143</v>
      </c>
      <c r="AC88" s="120">
        <f t="shared" si="57"/>
        <v>0.13813572576990252</v>
      </c>
      <c r="AD88" s="120">
        <f t="shared" si="58"/>
        <v>0.9902680687415703</v>
      </c>
      <c r="AE88" s="121">
        <f t="shared" si="59"/>
        <v>269.99999999999994</v>
      </c>
      <c r="AF88" s="119">
        <f t="shared" si="60"/>
        <v>81.99999999999997</v>
      </c>
      <c r="AG88" s="120">
        <f t="shared" si="61"/>
        <v>-5.116060333583509E-06</v>
      </c>
      <c r="AH88" s="104">
        <v>115</v>
      </c>
      <c r="AI88" s="105">
        <v>128</v>
      </c>
      <c r="AJ88" s="151">
        <v>126.4</v>
      </c>
      <c r="AK88" s="153">
        <v>69.2</v>
      </c>
      <c r="AL88" s="159">
        <f>IF(AK88&gt;=0,IF(W88&gt;=AJ88,W88-AJ88,W88-AJ88+360),IF((W88-AJ88-180)&lt;0,IF(W88-AJ88+180&lt;0,W88-AJ88+540,W88-AJ88+180),W88-AJ88-180))</f>
        <v>136.6</v>
      </c>
      <c r="AM88" s="149">
        <f>IF(AL88-90&lt;0,AL88+270,AL88-90)</f>
        <v>46.599999999999994</v>
      </c>
      <c r="AN88" s="115">
        <f>Y88</f>
        <v>82.0588672594607</v>
      </c>
      <c r="AO88" s="121"/>
      <c r="AP88" s="161"/>
      <c r="AQ88" s="121"/>
      <c r="AR88" s="127"/>
      <c r="AS88" s="91" t="s">
        <v>157</v>
      </c>
    </row>
    <row r="89" spans="1:44" ht="15">
      <c r="A89" s="104" t="s">
        <v>139</v>
      </c>
      <c r="B89" s="105" t="s">
        <v>138</v>
      </c>
      <c r="C89" s="105" t="s">
        <v>141</v>
      </c>
      <c r="D89" s="106">
        <v>2</v>
      </c>
      <c r="E89" s="181" t="s">
        <v>174</v>
      </c>
      <c r="F89" s="105">
        <f aca="true" t="shared" si="66" ref="F89:G92">562.78+(I89/100)</f>
        <v>562.79</v>
      </c>
      <c r="G89" s="105">
        <f t="shared" si="66"/>
        <v>562.87</v>
      </c>
      <c r="H89" s="182">
        <f t="shared" si="45"/>
        <v>562.8299999999999</v>
      </c>
      <c r="I89" s="110">
        <v>1</v>
      </c>
      <c r="J89" s="111">
        <v>9</v>
      </c>
      <c r="K89" s="105">
        <f t="shared" si="46"/>
        <v>5</v>
      </c>
      <c r="L89" s="104">
        <v>270</v>
      </c>
      <c r="M89" s="105">
        <v>68</v>
      </c>
      <c r="N89" s="105">
        <v>345</v>
      </c>
      <c r="O89" s="105">
        <v>0</v>
      </c>
      <c r="P89" s="105"/>
      <c r="Q89" s="106"/>
      <c r="R89" s="113">
        <f t="shared" si="47"/>
        <v>0.23997283987345033</v>
      </c>
      <c r="S89" s="113">
        <f t="shared" si="48"/>
        <v>0.8955908308443075</v>
      </c>
      <c r="T89" s="113">
        <f t="shared" si="49"/>
        <v>0.3618421832785978</v>
      </c>
      <c r="U89" s="114">
        <f t="shared" si="50"/>
        <v>75.00000000000001</v>
      </c>
      <c r="V89" s="149">
        <f t="shared" si="51"/>
        <v>21.31868117370436</v>
      </c>
      <c r="W89" s="116">
        <f t="shared" si="63"/>
        <v>255</v>
      </c>
      <c r="X89" s="114">
        <f t="shared" si="52"/>
        <v>165</v>
      </c>
      <c r="Y89" s="117">
        <f t="shared" si="53"/>
        <v>68.68131882629564</v>
      </c>
      <c r="Z89" s="124">
        <f t="shared" si="54"/>
        <v>95.56387105432566</v>
      </c>
      <c r="AA89" s="119">
        <f t="shared" si="55"/>
        <v>95.56387105432566</v>
      </c>
      <c r="AB89" s="120">
        <f t="shared" si="56"/>
        <v>-0.0969553207970146</v>
      </c>
      <c r="AC89" s="120">
        <f t="shared" si="57"/>
        <v>0.3618421832785979</v>
      </c>
      <c r="AD89" s="120">
        <f t="shared" si="58"/>
        <v>0.9271838545667873</v>
      </c>
      <c r="AE89" s="121">
        <f t="shared" si="59"/>
        <v>270</v>
      </c>
      <c r="AF89" s="119">
        <f t="shared" si="60"/>
        <v>68</v>
      </c>
      <c r="AG89" s="120">
        <f t="shared" si="61"/>
        <v>-2.7382499036568996E-05</v>
      </c>
      <c r="AH89" s="104">
        <v>1</v>
      </c>
      <c r="AI89" s="105">
        <v>18</v>
      </c>
      <c r="AJ89" s="151"/>
      <c r="AK89" s="153"/>
      <c r="AL89" s="159"/>
      <c r="AM89" s="149"/>
      <c r="AN89" s="115"/>
      <c r="AO89" s="121"/>
      <c r="AP89" s="161"/>
      <c r="AQ89" s="121"/>
      <c r="AR89" s="127"/>
    </row>
    <row r="90" spans="1:45" ht="15">
      <c r="A90" s="104" t="s">
        <v>139</v>
      </c>
      <c r="B90" s="105" t="s">
        <v>138</v>
      </c>
      <c r="C90" s="105" t="s">
        <v>141</v>
      </c>
      <c r="D90" s="106">
        <v>2</v>
      </c>
      <c r="E90" s="181" t="s">
        <v>47</v>
      </c>
      <c r="F90" s="105">
        <f t="shared" si="66"/>
        <v>563.1999999999999</v>
      </c>
      <c r="G90" s="105">
        <f t="shared" si="66"/>
        <v>563.4</v>
      </c>
      <c r="H90" s="182">
        <f t="shared" si="45"/>
        <v>563.3</v>
      </c>
      <c r="I90" s="110">
        <v>42</v>
      </c>
      <c r="J90" s="111">
        <v>62</v>
      </c>
      <c r="K90" s="105">
        <f t="shared" si="46"/>
        <v>52</v>
      </c>
      <c r="L90" s="104">
        <v>270</v>
      </c>
      <c r="M90" s="105">
        <v>59</v>
      </c>
      <c r="N90" s="105">
        <v>26</v>
      </c>
      <c r="O90" s="105">
        <v>0</v>
      </c>
      <c r="P90" s="105"/>
      <c r="Q90" s="106"/>
      <c r="R90" s="113">
        <f t="shared" si="47"/>
        <v>-0.3757574125988829</v>
      </c>
      <c r="S90" s="113">
        <f t="shared" si="48"/>
        <v>0.7704168665533863</v>
      </c>
      <c r="T90" s="113">
        <f t="shared" si="49"/>
        <v>0.4629131553465412</v>
      </c>
      <c r="U90" s="114">
        <f t="shared" si="50"/>
        <v>116</v>
      </c>
      <c r="V90" s="149">
        <f t="shared" si="51"/>
        <v>28.37126191320276</v>
      </c>
      <c r="W90" s="116">
        <f t="shared" si="63"/>
        <v>296</v>
      </c>
      <c r="X90" s="114">
        <f t="shared" si="52"/>
        <v>206</v>
      </c>
      <c r="Y90" s="117">
        <f t="shared" si="53"/>
        <v>61.62873808679724</v>
      </c>
      <c r="Z90" s="124">
        <f t="shared" si="54"/>
        <v>76.95137833964434</v>
      </c>
      <c r="AA90" s="119">
        <f t="shared" si="55"/>
        <v>76.95137833964434</v>
      </c>
      <c r="AB90" s="120">
        <f t="shared" si="56"/>
        <v>0.2257778315383591</v>
      </c>
      <c r="AC90" s="120">
        <f t="shared" si="57"/>
        <v>0.46291315534654137</v>
      </c>
      <c r="AD90" s="120">
        <f t="shared" si="58"/>
        <v>0.8571673007021122</v>
      </c>
      <c r="AE90" s="121">
        <f t="shared" si="59"/>
        <v>270</v>
      </c>
      <c r="AF90" s="119">
        <f t="shared" si="60"/>
        <v>59</v>
      </c>
      <c r="AG90" s="120">
        <f t="shared" si="61"/>
        <v>5.895006709303328E-05</v>
      </c>
      <c r="AH90" s="104">
        <v>42</v>
      </c>
      <c r="AI90" s="105">
        <v>74</v>
      </c>
      <c r="AJ90" s="151">
        <v>144.8</v>
      </c>
      <c r="AK90" s="153">
        <v>79.2</v>
      </c>
      <c r="AL90" s="159">
        <f>IF(AK90&gt;=0,IF(W90&gt;=AJ90,W90-AJ90,W90-AJ90+360),IF((W90-AJ90-180)&lt;0,IF(W90-AJ90+180&lt;0,W90-AJ90+540,W90-AJ90+180),W90-AJ90-180))</f>
        <v>151.2</v>
      </c>
      <c r="AM90" s="149">
        <f>IF(AL90-90&lt;0,AL90+270,AL90-90)</f>
        <v>61.19999999999999</v>
      </c>
      <c r="AN90" s="115">
        <f>Y90</f>
        <v>61.62873808679724</v>
      </c>
      <c r="AO90" s="121"/>
      <c r="AP90" s="161"/>
      <c r="AQ90" s="121"/>
      <c r="AR90" s="127"/>
      <c r="AS90" s="91" t="s">
        <v>156</v>
      </c>
    </row>
    <row r="91" spans="1:45" ht="15">
      <c r="A91" s="104" t="s">
        <v>139</v>
      </c>
      <c r="B91" s="105" t="s">
        <v>138</v>
      </c>
      <c r="C91" s="105" t="s">
        <v>141</v>
      </c>
      <c r="D91" s="106">
        <v>2</v>
      </c>
      <c r="E91" s="181" t="s">
        <v>172</v>
      </c>
      <c r="F91" s="105">
        <f t="shared" si="66"/>
        <v>563.4499999999999</v>
      </c>
      <c r="G91" s="105">
        <f t="shared" si="66"/>
        <v>563.51</v>
      </c>
      <c r="H91" s="182">
        <f t="shared" si="45"/>
        <v>563.48</v>
      </c>
      <c r="I91" s="110">
        <v>67</v>
      </c>
      <c r="J91" s="111">
        <v>73</v>
      </c>
      <c r="K91" s="105">
        <f t="shared" si="46"/>
        <v>70</v>
      </c>
      <c r="L91" s="104">
        <v>270</v>
      </c>
      <c r="M91" s="105">
        <v>54</v>
      </c>
      <c r="N91" s="105">
        <v>0</v>
      </c>
      <c r="O91" s="105">
        <v>48</v>
      </c>
      <c r="P91" s="105"/>
      <c r="Q91" s="106"/>
      <c r="R91" s="113">
        <f t="shared" si="47"/>
        <v>-0.436809568733076</v>
      </c>
      <c r="S91" s="113">
        <f t="shared" si="48"/>
        <v>0.5413380320007297</v>
      </c>
      <c r="T91" s="113">
        <f t="shared" si="49"/>
        <v>0.393305102275257</v>
      </c>
      <c r="U91" s="114">
        <f t="shared" si="50"/>
        <v>128.90031039211019</v>
      </c>
      <c r="V91" s="149">
        <f t="shared" si="51"/>
        <v>29.48487168971966</v>
      </c>
      <c r="W91" s="116">
        <f t="shared" si="63"/>
        <v>308.9003103921102</v>
      </c>
      <c r="X91" s="114">
        <f t="shared" si="52"/>
        <v>218.9003103921102</v>
      </c>
      <c r="Y91" s="117">
        <f t="shared" si="53"/>
        <v>60.51512831028034</v>
      </c>
      <c r="Z91" s="124">
        <f t="shared" si="54"/>
        <v>68.33926686698574</v>
      </c>
      <c r="AA91" s="119">
        <f t="shared" si="55"/>
        <v>68.33926686698574</v>
      </c>
      <c r="AB91" s="120">
        <f t="shared" si="56"/>
        <v>0.36910990238363833</v>
      </c>
      <c r="AC91" s="120">
        <f t="shared" si="57"/>
        <v>0.4574378458051619</v>
      </c>
      <c r="AD91" s="120">
        <f t="shared" si="58"/>
        <v>0.8090169943749475</v>
      </c>
      <c r="AE91" s="121">
        <f t="shared" si="59"/>
        <v>270</v>
      </c>
      <c r="AF91" s="119">
        <f t="shared" si="60"/>
        <v>54.000000000000014</v>
      </c>
      <c r="AG91" s="120">
        <f t="shared" si="61"/>
        <v>9.096003963966812E-05</v>
      </c>
      <c r="AH91" s="104">
        <v>42</v>
      </c>
      <c r="AI91" s="105">
        <v>74</v>
      </c>
      <c r="AJ91" s="151">
        <v>144.8</v>
      </c>
      <c r="AK91" s="153">
        <v>79.2</v>
      </c>
      <c r="AL91" s="159">
        <f>IF(AK91&gt;=0,IF(W91&gt;=AJ91,W91-AJ91,W91-AJ91+360),IF((W91-AJ91-180)&lt;0,IF(W91-AJ91+180&lt;0,W91-AJ91+540,W91-AJ91+180),W91-AJ91-180))</f>
        <v>164.1003103921102</v>
      </c>
      <c r="AM91" s="149">
        <f>IF(AL91-90&lt;0,AL91+270,AL91-90)</f>
        <v>74.1003103921102</v>
      </c>
      <c r="AN91" s="115">
        <f>Y91</f>
        <v>60.51512831028034</v>
      </c>
      <c r="AO91" s="121"/>
      <c r="AP91" s="161"/>
      <c r="AQ91" s="121"/>
      <c r="AR91" s="127"/>
      <c r="AS91" s="91" t="s">
        <v>173</v>
      </c>
    </row>
    <row r="92" spans="1:45" ht="15">
      <c r="A92" s="104" t="s">
        <v>139</v>
      </c>
      <c r="B92" s="105" t="s">
        <v>138</v>
      </c>
      <c r="C92" s="105" t="s">
        <v>141</v>
      </c>
      <c r="D92" s="106">
        <v>2</v>
      </c>
      <c r="E92" s="181" t="s">
        <v>155</v>
      </c>
      <c r="F92" s="105">
        <f t="shared" si="66"/>
        <v>563.53</v>
      </c>
      <c r="G92" s="105">
        <f t="shared" si="66"/>
        <v>563.62</v>
      </c>
      <c r="H92" s="182">
        <f t="shared" si="45"/>
        <v>563.575</v>
      </c>
      <c r="I92" s="110">
        <v>75</v>
      </c>
      <c r="J92" s="111">
        <v>84</v>
      </c>
      <c r="K92" s="105">
        <f t="shared" si="46"/>
        <v>79.5</v>
      </c>
      <c r="L92" s="104">
        <v>270</v>
      </c>
      <c r="M92" s="105">
        <v>58</v>
      </c>
      <c r="N92" s="105">
        <v>325</v>
      </c>
      <c r="O92" s="105">
        <v>0</v>
      </c>
      <c r="P92" s="105"/>
      <c r="Q92" s="106"/>
      <c r="R92" s="113">
        <f t="shared" si="47"/>
        <v>0.4864204048476924</v>
      </c>
      <c r="S92" s="113">
        <f t="shared" si="48"/>
        <v>0.6946803316219237</v>
      </c>
      <c r="T92" s="113">
        <f t="shared" si="49"/>
        <v>0.43408444860474815</v>
      </c>
      <c r="U92" s="114">
        <f t="shared" si="50"/>
        <v>54.999999999999986</v>
      </c>
      <c r="V92" s="149">
        <f t="shared" si="51"/>
        <v>27.106227204801858</v>
      </c>
      <c r="W92" s="116">
        <f t="shared" si="63"/>
        <v>235</v>
      </c>
      <c r="X92" s="114">
        <f t="shared" si="52"/>
        <v>145</v>
      </c>
      <c r="Y92" s="117">
        <f t="shared" si="53"/>
        <v>62.893772795198146</v>
      </c>
      <c r="Z92" s="124">
        <f t="shared" si="54"/>
        <v>107.6949566239171</v>
      </c>
      <c r="AA92" s="119">
        <f t="shared" si="55"/>
        <v>107.6949566239171</v>
      </c>
      <c r="AB92" s="120">
        <f t="shared" si="56"/>
        <v>-0.3039492031326501</v>
      </c>
      <c r="AC92" s="120">
        <f t="shared" si="57"/>
        <v>0.43408444860474815</v>
      </c>
      <c r="AD92" s="120">
        <f t="shared" si="58"/>
        <v>0.848048096156426</v>
      </c>
      <c r="AE92" s="121">
        <f t="shared" si="59"/>
        <v>270</v>
      </c>
      <c r="AF92" s="119">
        <f t="shared" si="60"/>
        <v>58</v>
      </c>
      <c r="AG92" s="120">
        <f t="shared" si="61"/>
        <v>-7.851603020603702E-05</v>
      </c>
      <c r="AH92" s="104">
        <v>75</v>
      </c>
      <c r="AI92" s="105">
        <v>114</v>
      </c>
      <c r="AJ92" s="151">
        <v>328.9</v>
      </c>
      <c r="AK92" s="153">
        <v>70.9</v>
      </c>
      <c r="AL92" s="159">
        <f>IF(AK92&gt;=0,IF(W92&gt;=AJ92,W92-AJ92,W92-AJ92+360),IF((W92-AJ92-180)&lt;0,IF(W92-AJ92+180&lt;0,W92-AJ92+540,W92-AJ92+180),W92-AJ92-180))</f>
        <v>266.1</v>
      </c>
      <c r="AM92" s="149">
        <f>IF(AL92-90&lt;0,AL92+270,AL92-90)</f>
        <v>176.10000000000002</v>
      </c>
      <c r="AN92" s="115">
        <f>Y92</f>
        <v>62.893772795198146</v>
      </c>
      <c r="AO92" s="121"/>
      <c r="AP92" s="161"/>
      <c r="AQ92" s="121"/>
      <c r="AR92" s="127"/>
      <c r="AS92" s="91" t="s">
        <v>154</v>
      </c>
    </row>
    <row r="93" spans="1:45" ht="15">
      <c r="A93" s="104" t="s">
        <v>139</v>
      </c>
      <c r="B93" s="105" t="s">
        <v>138</v>
      </c>
      <c r="C93" s="105" t="s">
        <v>140</v>
      </c>
      <c r="D93" s="106">
        <v>1</v>
      </c>
      <c r="E93" s="181" t="s">
        <v>172</v>
      </c>
      <c r="F93" s="105">
        <f aca="true" t="shared" si="67" ref="F93:G98">571+(I93/100)</f>
        <v>571.26</v>
      </c>
      <c r="G93" s="105">
        <f t="shared" si="67"/>
        <v>571.3</v>
      </c>
      <c r="H93" s="182">
        <f t="shared" si="45"/>
        <v>571.28</v>
      </c>
      <c r="I93" s="110">
        <v>26</v>
      </c>
      <c r="J93" s="111">
        <v>30</v>
      </c>
      <c r="K93" s="105">
        <f t="shared" si="46"/>
        <v>28</v>
      </c>
      <c r="L93" s="104">
        <v>90</v>
      </c>
      <c r="M93" s="105">
        <v>76</v>
      </c>
      <c r="N93" s="105">
        <v>0</v>
      </c>
      <c r="O93" s="105">
        <v>40</v>
      </c>
      <c r="P93" s="105"/>
      <c r="Q93" s="106"/>
      <c r="R93" s="113">
        <f t="shared" si="47"/>
        <v>0.15550439700334703</v>
      </c>
      <c r="S93" s="113">
        <f t="shared" si="48"/>
        <v>0.7432896492958201</v>
      </c>
      <c r="T93" s="113">
        <f t="shared" si="49"/>
        <v>-0.18532292379293513</v>
      </c>
      <c r="U93" s="114">
        <f t="shared" si="50"/>
        <v>78.18352278250231</v>
      </c>
      <c r="V93" s="149">
        <f t="shared" si="51"/>
        <v>-13.714636641782931</v>
      </c>
      <c r="W93" s="116">
        <f t="shared" si="63"/>
        <v>78.18352278250231</v>
      </c>
      <c r="X93" s="114">
        <f t="shared" si="52"/>
        <v>348.18352278250234</v>
      </c>
      <c r="Y93" s="117">
        <f t="shared" si="53"/>
        <v>76.28536335821707</v>
      </c>
      <c r="Z93" s="124">
        <f t="shared" si="54"/>
        <v>92.83960511729042</v>
      </c>
      <c r="AA93" s="119">
        <f t="shared" si="55"/>
        <v>92.83960511729042</v>
      </c>
      <c r="AB93" s="120">
        <f t="shared" si="56"/>
        <v>-0.049540172522214806</v>
      </c>
      <c r="AC93" s="120">
        <f t="shared" si="57"/>
        <v>0.23679521717510643</v>
      </c>
      <c r="AD93" s="120">
        <f t="shared" si="58"/>
        <v>0.9702957262759964</v>
      </c>
      <c r="AE93" s="121">
        <f t="shared" si="59"/>
        <v>90.00000000000001</v>
      </c>
      <c r="AF93" s="119">
        <f t="shared" si="60"/>
        <v>75.99999999999997</v>
      </c>
      <c r="AG93" s="120">
        <f t="shared" si="61"/>
        <v>-1.4641836587964674E-05</v>
      </c>
      <c r="AH93" s="104">
        <v>26</v>
      </c>
      <c r="AI93" s="105">
        <v>30</v>
      </c>
      <c r="AJ93" s="125"/>
      <c r="AK93" s="179"/>
      <c r="AL93" s="116"/>
      <c r="AM93" s="114"/>
      <c r="AN93" s="117"/>
      <c r="AO93" s="121"/>
      <c r="AP93" s="124"/>
      <c r="AQ93" s="121"/>
      <c r="AR93" s="127"/>
      <c r="AS93" s="91" t="s">
        <v>171</v>
      </c>
    </row>
    <row r="94" spans="1:45" ht="15">
      <c r="A94" s="104" t="s">
        <v>139</v>
      </c>
      <c r="B94" s="105" t="s">
        <v>138</v>
      </c>
      <c r="C94" s="105" t="s">
        <v>140</v>
      </c>
      <c r="D94" s="106">
        <v>1</v>
      </c>
      <c r="E94" s="181" t="s">
        <v>172</v>
      </c>
      <c r="F94" s="105">
        <f t="shared" si="67"/>
        <v>571.43</v>
      </c>
      <c r="G94" s="105">
        <f t="shared" si="67"/>
        <v>571.47</v>
      </c>
      <c r="H94" s="182">
        <f t="shared" si="45"/>
        <v>571.45</v>
      </c>
      <c r="I94" s="110">
        <v>43</v>
      </c>
      <c r="J94" s="111">
        <v>47</v>
      </c>
      <c r="K94" s="105">
        <f t="shared" si="46"/>
        <v>45</v>
      </c>
      <c r="L94" s="104">
        <v>90</v>
      </c>
      <c r="M94" s="105">
        <v>24</v>
      </c>
      <c r="N94" s="105">
        <v>0</v>
      </c>
      <c r="O94" s="105">
        <v>323</v>
      </c>
      <c r="P94" s="105"/>
      <c r="Q94" s="106"/>
      <c r="R94" s="113">
        <f t="shared" si="47"/>
        <v>-0.5497853807416304</v>
      </c>
      <c r="S94" s="113">
        <f t="shared" si="48"/>
        <v>0.3248343263977654</v>
      </c>
      <c r="T94" s="113">
        <f t="shared" si="49"/>
        <v>-0.7295898425157861</v>
      </c>
      <c r="U94" s="114">
        <f t="shared" si="50"/>
        <v>149.4237743700541</v>
      </c>
      <c r="V94" s="149">
        <f t="shared" si="51"/>
        <v>-48.80578290534085</v>
      </c>
      <c r="W94" s="116">
        <f t="shared" si="63"/>
        <v>149.4237743700541</v>
      </c>
      <c r="X94" s="114">
        <f t="shared" si="52"/>
        <v>59.423774370054105</v>
      </c>
      <c r="Y94" s="117">
        <f t="shared" si="53"/>
        <v>41.19421709465915</v>
      </c>
      <c r="Z94" s="124">
        <f t="shared" si="54"/>
        <v>38.13853373950232</v>
      </c>
      <c r="AA94" s="119">
        <f t="shared" si="55"/>
        <v>38.13853373950232</v>
      </c>
      <c r="AB94" s="120">
        <f t="shared" si="56"/>
        <v>0.7865198623283766</v>
      </c>
      <c r="AC94" s="120">
        <f t="shared" si="57"/>
        <v>0.46470615375996543</v>
      </c>
      <c r="AD94" s="120">
        <f t="shared" si="58"/>
        <v>0.40673664307580015</v>
      </c>
      <c r="AE94" s="121">
        <f t="shared" si="59"/>
        <v>90</v>
      </c>
      <c r="AF94" s="119">
        <f t="shared" si="60"/>
        <v>24</v>
      </c>
      <c r="AG94" s="120">
        <f t="shared" si="61"/>
        <v>9.744519793920252E-05</v>
      </c>
      <c r="AH94" s="104">
        <v>38</v>
      </c>
      <c r="AI94" s="105">
        <v>54</v>
      </c>
      <c r="AJ94" s="125"/>
      <c r="AK94" s="179"/>
      <c r="AL94" s="116"/>
      <c r="AM94" s="114"/>
      <c r="AN94" s="117"/>
      <c r="AO94" s="121"/>
      <c r="AP94" s="124"/>
      <c r="AQ94" s="121"/>
      <c r="AR94" s="127"/>
      <c r="AS94" s="91" t="s">
        <v>171</v>
      </c>
    </row>
    <row r="95" spans="1:45" ht="15">
      <c r="A95" s="104" t="s">
        <v>139</v>
      </c>
      <c r="B95" s="105" t="s">
        <v>138</v>
      </c>
      <c r="C95" s="105" t="s">
        <v>140</v>
      </c>
      <c r="D95" s="106">
        <v>1</v>
      </c>
      <c r="E95" s="181" t="s">
        <v>172</v>
      </c>
      <c r="F95" s="105">
        <f t="shared" si="67"/>
        <v>571.5</v>
      </c>
      <c r="G95" s="105">
        <f t="shared" si="67"/>
        <v>571.53</v>
      </c>
      <c r="H95" s="182">
        <f t="shared" si="45"/>
        <v>571.515</v>
      </c>
      <c r="I95" s="110">
        <v>50</v>
      </c>
      <c r="J95" s="111">
        <v>53</v>
      </c>
      <c r="K95" s="105">
        <f t="shared" si="46"/>
        <v>51.5</v>
      </c>
      <c r="L95" s="104">
        <v>90</v>
      </c>
      <c r="M95" s="105">
        <v>5</v>
      </c>
      <c r="N95" s="105">
        <v>0</v>
      </c>
      <c r="O95" s="105">
        <v>7</v>
      </c>
      <c r="P95" s="105"/>
      <c r="Q95" s="106"/>
      <c r="R95" s="113">
        <f t="shared" si="47"/>
        <v>0.12140559376013015</v>
      </c>
      <c r="S95" s="113">
        <f t="shared" si="48"/>
        <v>0.08650609705762916</v>
      </c>
      <c r="T95" s="113">
        <f t="shared" si="49"/>
        <v>-0.9887692138764507</v>
      </c>
      <c r="U95" s="114">
        <f t="shared" si="50"/>
        <v>35.471315665952496</v>
      </c>
      <c r="V95" s="149">
        <f t="shared" si="51"/>
        <v>-81.42632981513503</v>
      </c>
      <c r="W95" s="116">
        <f t="shared" si="63"/>
        <v>35.471315665952496</v>
      </c>
      <c r="X95" s="114">
        <f t="shared" si="52"/>
        <v>305.4713156659525</v>
      </c>
      <c r="Y95" s="117">
        <f t="shared" si="53"/>
        <v>8.573670184864966</v>
      </c>
      <c r="Z95" s="124">
        <f t="shared" si="54"/>
        <v>144.22383354917721</v>
      </c>
      <c r="AA95" s="119">
        <f t="shared" si="55"/>
        <v>144.22383354917721</v>
      </c>
      <c r="AB95" s="120">
        <f t="shared" si="56"/>
        <v>-0.8113070759400467</v>
      </c>
      <c r="AC95" s="120">
        <f t="shared" si="57"/>
        <v>0.5780871085188765</v>
      </c>
      <c r="AD95" s="120">
        <f t="shared" si="58"/>
        <v>0.08715574274765793</v>
      </c>
      <c r="AE95" s="121">
        <f t="shared" si="59"/>
        <v>90</v>
      </c>
      <c r="AF95" s="119">
        <f t="shared" si="60"/>
        <v>4.999999999999987</v>
      </c>
      <c r="AG95" s="120">
        <f t="shared" si="61"/>
        <v>-2.1538791223785593E-05</v>
      </c>
      <c r="AH95" s="104">
        <v>38</v>
      </c>
      <c r="AI95" s="105">
        <v>54</v>
      </c>
      <c r="AJ95" s="125"/>
      <c r="AK95" s="179"/>
      <c r="AL95" s="116"/>
      <c r="AM95" s="114"/>
      <c r="AN95" s="117"/>
      <c r="AO95" s="121"/>
      <c r="AP95" s="124"/>
      <c r="AQ95" s="121"/>
      <c r="AR95" s="127"/>
      <c r="AS95" s="91" t="s">
        <v>171</v>
      </c>
    </row>
    <row r="96" spans="1:45" ht="15">
      <c r="A96" s="104" t="s">
        <v>139</v>
      </c>
      <c r="B96" s="105" t="s">
        <v>138</v>
      </c>
      <c r="C96" s="105" t="s">
        <v>140</v>
      </c>
      <c r="D96" s="106">
        <v>1</v>
      </c>
      <c r="E96" s="181" t="s">
        <v>47</v>
      </c>
      <c r="F96" s="105">
        <f t="shared" si="67"/>
        <v>571.58</v>
      </c>
      <c r="G96" s="105">
        <f t="shared" si="67"/>
        <v>571.71</v>
      </c>
      <c r="H96" s="182">
        <f t="shared" si="45"/>
        <v>571.645</v>
      </c>
      <c r="I96" s="110">
        <v>58</v>
      </c>
      <c r="J96" s="111">
        <v>71</v>
      </c>
      <c r="K96" s="105">
        <f t="shared" si="46"/>
        <v>64.5</v>
      </c>
      <c r="L96" s="104">
        <v>270</v>
      </c>
      <c r="M96" s="105">
        <v>25</v>
      </c>
      <c r="N96" s="105">
        <v>0</v>
      </c>
      <c r="O96" s="105">
        <v>301</v>
      </c>
      <c r="P96" s="105"/>
      <c r="Q96" s="106"/>
      <c r="R96" s="113">
        <f t="shared" si="47"/>
        <v>0.7768573994195102</v>
      </c>
      <c r="S96" s="113">
        <f t="shared" si="48"/>
        <v>0.21766449594876308</v>
      </c>
      <c r="T96" s="113">
        <f t="shared" si="49"/>
        <v>0.4667830179113475</v>
      </c>
      <c r="U96" s="114">
        <f t="shared" si="50"/>
        <v>15.652123346440487</v>
      </c>
      <c r="V96" s="149">
        <f t="shared" si="51"/>
        <v>30.05278218594129</v>
      </c>
      <c r="W96" s="116">
        <f t="shared" si="63"/>
        <v>195.65212334644048</v>
      </c>
      <c r="X96" s="114">
        <f t="shared" si="52"/>
        <v>105.65212334644048</v>
      </c>
      <c r="Y96" s="117">
        <f t="shared" si="53"/>
        <v>59.94721781405871</v>
      </c>
      <c r="Z96" s="124">
        <f t="shared" si="54"/>
        <v>150.77388827166484</v>
      </c>
      <c r="AA96" s="119">
        <f t="shared" si="55"/>
        <v>150.77388827166484</v>
      </c>
      <c r="AB96" s="120">
        <f t="shared" si="56"/>
        <v>-0.8726996515962544</v>
      </c>
      <c r="AC96" s="120">
        <f t="shared" si="57"/>
        <v>0.24451814441273287</v>
      </c>
      <c r="AD96" s="120">
        <f t="shared" si="58"/>
        <v>0.4226182617406991</v>
      </c>
      <c r="AE96" s="121">
        <f t="shared" si="59"/>
        <v>270</v>
      </c>
      <c r="AF96" s="119">
        <f t="shared" si="60"/>
        <v>24.99999999999998</v>
      </c>
      <c r="AG96" s="120">
        <f t="shared" si="61"/>
        <v>-0.00011234327143518145</v>
      </c>
      <c r="AH96" s="104">
        <v>55</v>
      </c>
      <c r="AI96" s="105">
        <v>71</v>
      </c>
      <c r="AJ96" s="255">
        <v>81.1</v>
      </c>
      <c r="AK96" s="256">
        <v>74.2</v>
      </c>
      <c r="AL96" s="250">
        <f>IF(AK96&gt;=0,IF(W96&gt;=AJ96,W96-AJ96,W96-AJ96+360),IF((W96-AJ96-180)&lt;0,IF(W96-AJ96+180&lt;0,W96-AJ96+540,W96-AJ96+180),W96-AJ96-180))</f>
        <v>114.55212334644048</v>
      </c>
      <c r="AM96" s="251">
        <f>IF(AL96-90&lt;0,AL96+270,AL96-90)</f>
        <v>24.55212334644048</v>
      </c>
      <c r="AN96" s="252">
        <f>Y96</f>
        <v>59.94721781405871</v>
      </c>
      <c r="AO96" s="121"/>
      <c r="AP96" s="124"/>
      <c r="AQ96" s="121"/>
      <c r="AR96" s="127"/>
      <c r="AS96" s="91" t="s">
        <v>107</v>
      </c>
    </row>
    <row r="97" spans="1:45" ht="15">
      <c r="A97" s="104" t="s">
        <v>139</v>
      </c>
      <c r="B97" s="105" t="s">
        <v>138</v>
      </c>
      <c r="C97" s="105" t="s">
        <v>140</v>
      </c>
      <c r="D97" s="106">
        <v>1</v>
      </c>
      <c r="E97" s="181" t="s">
        <v>47</v>
      </c>
      <c r="F97" s="105">
        <f t="shared" si="67"/>
        <v>572.18</v>
      </c>
      <c r="G97" s="105">
        <f t="shared" si="67"/>
        <v>572.25</v>
      </c>
      <c r="H97" s="182">
        <f t="shared" si="45"/>
        <v>572.2149999999999</v>
      </c>
      <c r="I97" s="110">
        <v>118</v>
      </c>
      <c r="J97" s="111">
        <v>125</v>
      </c>
      <c r="K97" s="105">
        <f t="shared" si="46"/>
        <v>121.5</v>
      </c>
      <c r="L97" s="104">
        <v>90</v>
      </c>
      <c r="M97" s="105">
        <v>50</v>
      </c>
      <c r="N97" s="105">
        <v>345</v>
      </c>
      <c r="O97" s="105">
        <v>0</v>
      </c>
      <c r="P97" s="105">
        <v>10</v>
      </c>
      <c r="Q97" s="106">
        <v>270</v>
      </c>
      <c r="R97" s="113">
        <f t="shared" si="47"/>
        <v>0.19826689127414612</v>
      </c>
      <c r="S97" s="113">
        <f t="shared" si="48"/>
        <v>0.739942111693848</v>
      </c>
      <c r="T97" s="113">
        <f t="shared" si="49"/>
        <v>-0.6208851530148457</v>
      </c>
      <c r="U97" s="114">
        <f t="shared" si="50"/>
        <v>75.00000000000001</v>
      </c>
      <c r="V97" s="149">
        <f t="shared" si="51"/>
        <v>-39.02504352461164</v>
      </c>
      <c r="W97" s="116">
        <f t="shared" si="63"/>
        <v>75.00000000000001</v>
      </c>
      <c r="X97" s="114">
        <f t="shared" si="52"/>
        <v>345</v>
      </c>
      <c r="Y97" s="117">
        <f t="shared" si="53"/>
        <v>50.97495647538836</v>
      </c>
      <c r="Z97" s="124">
        <f t="shared" si="54"/>
        <v>99.57657851556993</v>
      </c>
      <c r="AA97" s="119">
        <f t="shared" si="55"/>
        <v>109.57657851556993</v>
      </c>
      <c r="AB97" s="120">
        <f t="shared" si="56"/>
        <v>-0.33506644558596926</v>
      </c>
      <c r="AC97" s="120">
        <f t="shared" si="57"/>
        <v>0.5932622035732924</v>
      </c>
      <c r="AD97" s="120">
        <f t="shared" si="58"/>
        <v>0.7319634108708892</v>
      </c>
      <c r="AE97" s="121">
        <f t="shared" si="59"/>
        <v>104.45717204591116</v>
      </c>
      <c r="AF97" s="119">
        <f t="shared" si="60"/>
        <v>47.05124723924765</v>
      </c>
      <c r="AG97" s="120">
        <f t="shared" si="61"/>
        <v>-7.470690720593123E-05</v>
      </c>
      <c r="AH97" s="104">
        <v>115</v>
      </c>
      <c r="AI97" s="105">
        <v>132</v>
      </c>
      <c r="AJ97" s="262">
        <v>230.2</v>
      </c>
      <c r="AK97" s="263">
        <v>53.3</v>
      </c>
      <c r="AL97" s="159">
        <f>IF(AK97&gt;=0,IF(W97&gt;=AJ97,W97-AJ97,W97-AJ97+360),IF((W97-AJ97-180)&lt;0,IF(W97-AJ97+180&lt;0,W97-AJ97+540,W97-AJ97+180),W97-AJ97-180))</f>
        <v>204.8</v>
      </c>
      <c r="AM97" s="149">
        <f>IF(AL97-90&lt;0,AL97+270,AL97-90)</f>
        <v>114.80000000000001</v>
      </c>
      <c r="AN97" s="115">
        <f>Y97</f>
        <v>50.97495647538836</v>
      </c>
      <c r="AO97" s="121">
        <f>AA97</f>
        <v>109.57657851556993</v>
      </c>
      <c r="AP97" s="161">
        <f>IF(AK97&gt;=0,IF(AE97&gt;=AJ97,AE97-AJ97,AE97-AJ97+360),IF((AE97-AJ97-180)&lt;0,IF(AE97-AJ97+180&lt;0,AE97-AJ97+540,AE97-AJ97+180),AE97-AJ97-180))</f>
        <v>234.25717204591118</v>
      </c>
      <c r="AQ97" s="121">
        <f>AF97</f>
        <v>47.05124723924765</v>
      </c>
      <c r="AR97" s="127"/>
      <c r="AS97" s="91" t="s">
        <v>153</v>
      </c>
    </row>
    <row r="98" spans="1:45" ht="15">
      <c r="A98" s="104" t="s">
        <v>139</v>
      </c>
      <c r="B98" s="105" t="s">
        <v>138</v>
      </c>
      <c r="C98" s="105" t="s">
        <v>140</v>
      </c>
      <c r="D98" s="106">
        <v>1</v>
      </c>
      <c r="E98" s="181" t="s">
        <v>47</v>
      </c>
      <c r="F98" s="105">
        <f t="shared" si="67"/>
        <v>572.24</v>
      </c>
      <c r="G98" s="105">
        <f t="shared" si="67"/>
        <v>572.28</v>
      </c>
      <c r="H98" s="182">
        <f t="shared" si="45"/>
        <v>572.26</v>
      </c>
      <c r="I98" s="110">
        <v>124</v>
      </c>
      <c r="J98" s="111">
        <v>128</v>
      </c>
      <c r="K98" s="105">
        <f t="shared" si="46"/>
        <v>126</v>
      </c>
      <c r="L98" s="104">
        <v>90</v>
      </c>
      <c r="M98" s="105">
        <v>48</v>
      </c>
      <c r="N98" s="105">
        <v>337</v>
      </c>
      <c r="O98" s="105">
        <v>0</v>
      </c>
      <c r="P98" s="105">
        <v>25</v>
      </c>
      <c r="Q98" s="106">
        <v>90</v>
      </c>
      <c r="R98" s="113">
        <f t="shared" si="47"/>
        <v>0.29036981628974734</v>
      </c>
      <c r="S98" s="113">
        <f t="shared" si="48"/>
        <v>0.6840684186700078</v>
      </c>
      <c r="T98" s="113">
        <f t="shared" si="49"/>
        <v>-0.615937970746903</v>
      </c>
      <c r="U98" s="114">
        <f t="shared" si="50"/>
        <v>66.99999999999994</v>
      </c>
      <c r="V98" s="149">
        <f t="shared" si="51"/>
        <v>-39.652832267470835</v>
      </c>
      <c r="W98" s="116">
        <f t="shared" si="63"/>
        <v>66.99999999999994</v>
      </c>
      <c r="X98" s="114">
        <f t="shared" si="52"/>
        <v>336.99999999999994</v>
      </c>
      <c r="Y98" s="117">
        <f t="shared" si="53"/>
        <v>50.347167732529165</v>
      </c>
      <c r="Z98" s="124">
        <f t="shared" si="54"/>
        <v>105.15612673433942</v>
      </c>
      <c r="AA98" s="119">
        <f t="shared" si="55"/>
        <v>80.15612673433942</v>
      </c>
      <c r="AB98" s="120">
        <f t="shared" si="56"/>
        <v>0.1709640084779805</v>
      </c>
      <c r="AC98" s="120">
        <f t="shared" si="57"/>
        <v>0.6287391319182545</v>
      </c>
      <c r="AD98" s="120">
        <f t="shared" si="58"/>
        <v>0.7585897519738986</v>
      </c>
      <c r="AE98" s="121">
        <f t="shared" si="59"/>
        <v>51.788173463848</v>
      </c>
      <c r="AF98" s="119">
        <f t="shared" si="60"/>
        <v>49.34003077713538</v>
      </c>
      <c r="AG98" s="120">
        <f t="shared" si="61"/>
        <v>3.950509092141921E-05</v>
      </c>
      <c r="AH98" s="104">
        <v>115</v>
      </c>
      <c r="AI98" s="105">
        <v>132</v>
      </c>
      <c r="AJ98" s="262">
        <v>230.2</v>
      </c>
      <c r="AK98" s="263">
        <v>53.3</v>
      </c>
      <c r="AL98" s="159">
        <f>IF(AK98&gt;=0,IF(W98&gt;=AJ98,W98-AJ98,W98-AJ98+360),IF((W98-AJ98-180)&lt;0,IF(W98-AJ98+180&lt;0,W98-AJ98+540,W98-AJ98+180),W98-AJ98-180))</f>
        <v>196.79999999999995</v>
      </c>
      <c r="AM98" s="149">
        <f>IF(AL98-90&lt;0,AL98+270,AL98-90)</f>
        <v>106.79999999999995</v>
      </c>
      <c r="AN98" s="115">
        <f>Y98</f>
        <v>50.347167732529165</v>
      </c>
      <c r="AO98" s="121">
        <f>AA98</f>
        <v>80.15612673433942</v>
      </c>
      <c r="AP98" s="161">
        <f>IF(AK98&gt;=0,IF(AE98&gt;=AJ98,AE98-AJ98,AE98-AJ98+360),IF((AE98-AJ98-180)&lt;0,IF(AE98-AJ98+180&lt;0,AE98-AJ98+540,AE98-AJ98+180),AE98-AJ98-180))</f>
        <v>181.58817346384802</v>
      </c>
      <c r="AQ98" s="121">
        <f>AF98</f>
        <v>49.34003077713538</v>
      </c>
      <c r="AR98" s="127"/>
      <c r="AS98" s="91" t="s">
        <v>152</v>
      </c>
    </row>
    <row r="99" spans="1:45" ht="15">
      <c r="A99" s="104" t="s">
        <v>139</v>
      </c>
      <c r="B99" s="105" t="s">
        <v>138</v>
      </c>
      <c r="C99" s="105" t="s">
        <v>140</v>
      </c>
      <c r="D99" s="106">
        <v>2</v>
      </c>
      <c r="E99" s="181" t="s">
        <v>47</v>
      </c>
      <c r="F99" s="105">
        <f aca="true" t="shared" si="68" ref="F99:G101">572.475+(I99/100)</f>
        <v>572.475</v>
      </c>
      <c r="G99" s="105">
        <f t="shared" si="68"/>
        <v>572.575</v>
      </c>
      <c r="H99" s="182">
        <f>(F99+G99)/2</f>
        <v>572.5250000000001</v>
      </c>
      <c r="I99" s="110">
        <v>0</v>
      </c>
      <c r="J99" s="111">
        <v>10</v>
      </c>
      <c r="K99" s="105">
        <f>(+I99+J99)/2</f>
        <v>5</v>
      </c>
      <c r="L99" s="104">
        <v>90</v>
      </c>
      <c r="M99" s="105">
        <v>66</v>
      </c>
      <c r="N99" s="105">
        <v>9</v>
      </c>
      <c r="O99" s="105">
        <v>0</v>
      </c>
      <c r="P99" s="105"/>
      <c r="Q99" s="106"/>
      <c r="R99" s="113">
        <f aca="true" t="shared" si="69" ref="R99:R107">COS(M99*PI()/180)*SIN(L99*PI()/180)*(SIN(O99*PI()/180))-(COS(O99*PI()/180)*SIN(N99*PI()/180))*(SIN(M99*PI()/180))</f>
        <v>-0.14290999495625314</v>
      </c>
      <c r="S99" s="113">
        <f aca="true" t="shared" si="70" ref="S99:S107">(SIN(M99*PI()/180))*(COS(O99*PI()/180)*COS(N99*PI()/180))-(SIN(O99*PI()/180))*(COS(M99*PI()/180)*COS(L99*PI()/180))</f>
        <v>0.9022981971172461</v>
      </c>
      <c r="T99" s="113">
        <f aca="true" t="shared" si="71" ref="T99:T107">(COS(M99*PI()/180)*COS(L99*PI()/180))*(COS(O99*PI()/180)*SIN(N99*PI()/180))-(COS(M99*PI()/180)*SIN(L99*PI()/180))*(COS(O99*PI()/180)*COS(N99*PI()/180))</f>
        <v>-0.40172904005877397</v>
      </c>
      <c r="U99" s="114">
        <f aca="true" t="shared" si="72" ref="U99:U107">IF(R99=0,IF(S99&gt;=0,90,270),IF(R99&gt;0,IF(S99&gt;=0,ATAN(S99/R99)*180/PI(),ATAN(S99/R99)*180/PI()+360),ATAN(S99/R99)*180/PI()+180))</f>
        <v>99</v>
      </c>
      <c r="V99" s="149">
        <f aca="true" t="shared" si="73" ref="V99:V107">ASIN(T99/SQRT(R99^2+S99^2+T99^2))*180/PI()</f>
        <v>-23.737357436943984</v>
      </c>
      <c r="W99" s="116">
        <f t="shared" si="63"/>
        <v>99</v>
      </c>
      <c r="X99" s="114">
        <f>IF(W99-90&lt;0,W99+270,W99-90)</f>
        <v>9</v>
      </c>
      <c r="Y99" s="117">
        <f aca="true" t="shared" si="74" ref="Y99:Y107">IF(T99&lt;0,90+V99,90-V99)</f>
        <v>66.26264256305602</v>
      </c>
      <c r="Z99" s="124">
        <f aca="true" t="shared" si="75" ref="Z99:Z107">IF(-S99&lt;0,180-ACOS(SIN((W99-90)*PI()/180)*T99/SQRT(S99^2+T99^2))*180/PI(),ACOS(SIN((W99-90)*PI()/180)*T99/SQRT(S99^2+T99^2))*180/PI())</f>
        <v>86.35194104592108</v>
      </c>
      <c r="AA99" s="119">
        <f>IF(Q99=90,IF(Z99-P99&lt;0,Z99-P99+180,Z99-P99),IF(Z99+P99&gt;180,Z99+P99-180,Z99+P99))</f>
        <v>86.35194104592108</v>
      </c>
      <c r="AB99" s="120">
        <f>COS(AA99*PI()/180)</f>
        <v>0.06362762917182223</v>
      </c>
      <c r="AC99" s="120">
        <f aca="true" t="shared" si="76" ref="AC99:AC107">SIN(AA99*PI()/180)*COS(Y99*PI()/180)</f>
        <v>0.4017290400587739</v>
      </c>
      <c r="AD99" s="120">
        <f aca="true" t="shared" si="77" ref="AD99:AD107">SIN(AA99*PI()/180)*SIN(Y99*PI()/180)</f>
        <v>0.913545457642601</v>
      </c>
      <c r="AE99" s="121">
        <f aca="true" t="shared" si="78" ref="AE99:AE107">IF(IF(AB99=0,IF(AC99&gt;=0,90,270),IF(AB99&gt;0,IF(AC99&gt;=0,ATAN(AC99/AB99)*180/PI(),ATAN(AC99/AB99)*180/PI()+360),ATAN(AC99/AB99)*180/PI()+180))-(360-X99)&lt;0,IF(AB99=0,IF(AC99&gt;=0,90,270),IF(AB99&gt;0,IF(AC99&gt;=0,ATAN(AC99/AB99)*180/PI(),ATAN(AC99/AB99)*180/PI()+360),ATAN(AC99/AB99)*180/PI()+180))+X99,IF(AB99=0,IF(AC99&gt;=0,90,270),IF(AB99&gt;0,IF(AC99&gt;=0,ATAN(AC99/AB99)*180/PI(),ATAN(AC99/AB99)*180/PI()+360),ATAN(AC99/AB99)*180/PI()+180))-(360-X99))</f>
        <v>89.99999999999999</v>
      </c>
      <c r="AF99" s="119">
        <f aca="true" t="shared" si="79" ref="AF99:AF107">ASIN(AD99/SQRT(AB99^2+AC99^2+AD99^2))*180/PI()</f>
        <v>66.00000000000001</v>
      </c>
      <c r="AG99" s="120">
        <f aca="true" t="shared" si="80" ref="AG99:AG107">SIN(AD99*PI()/180)*SIN(AB99*PI()/180)</f>
        <v>1.7705661144108008E-05</v>
      </c>
      <c r="AH99" s="104">
        <v>0</v>
      </c>
      <c r="AI99" s="105">
        <v>21</v>
      </c>
      <c r="AJ99" s="262">
        <v>253.7</v>
      </c>
      <c r="AK99" s="263">
        <v>26.6</v>
      </c>
      <c r="AL99" s="159">
        <f>IF(AK99&gt;=0,IF(W99&gt;=AJ99,W99-AJ99,W99-AJ99+360),IF((W99-AJ99-180)&lt;0,IF(W99-AJ99+180&lt;0,W99-AJ99+540,W99-AJ99+180),W99-AJ99-180))</f>
        <v>205.3</v>
      </c>
      <c r="AM99" s="149">
        <f>IF(AL99-90&lt;0,AL99+270,AL99-90)</f>
        <v>115.30000000000001</v>
      </c>
      <c r="AN99" s="115">
        <f>Y99</f>
        <v>66.26264256305602</v>
      </c>
      <c r="AO99" s="121"/>
      <c r="AP99" s="161"/>
      <c r="AQ99" s="121"/>
      <c r="AR99" s="127"/>
      <c r="AS99" s="91" t="s">
        <v>151</v>
      </c>
    </row>
    <row r="100" spans="1:44" ht="15">
      <c r="A100" s="104" t="s">
        <v>139</v>
      </c>
      <c r="B100" s="105" t="s">
        <v>138</v>
      </c>
      <c r="C100" s="105" t="s">
        <v>140</v>
      </c>
      <c r="D100" s="106">
        <v>2</v>
      </c>
      <c r="E100" s="181" t="s">
        <v>47</v>
      </c>
      <c r="F100" s="105">
        <f t="shared" si="68"/>
        <v>572.725</v>
      </c>
      <c r="G100" s="105">
        <f t="shared" si="68"/>
        <v>572.865</v>
      </c>
      <c r="H100" s="182">
        <f>(F100+G100)/2</f>
        <v>572.7950000000001</v>
      </c>
      <c r="I100" s="110">
        <v>25</v>
      </c>
      <c r="J100" s="111">
        <v>39</v>
      </c>
      <c r="K100" s="105">
        <f>(+I100+J100)/2</f>
        <v>32</v>
      </c>
      <c r="L100" s="104">
        <v>90</v>
      </c>
      <c r="M100" s="105">
        <v>60</v>
      </c>
      <c r="N100" s="105">
        <v>3</v>
      </c>
      <c r="O100" s="105">
        <v>0</v>
      </c>
      <c r="P100" s="105"/>
      <c r="Q100" s="106"/>
      <c r="R100" s="113">
        <f t="shared" si="69"/>
        <v>-0.04532426763774014</v>
      </c>
      <c r="S100" s="113">
        <f t="shared" si="70"/>
        <v>0.8648385460668958</v>
      </c>
      <c r="T100" s="113">
        <f t="shared" si="71"/>
        <v>-0.499314767377287</v>
      </c>
      <c r="U100" s="114">
        <f t="shared" si="72"/>
        <v>92.99999999999999</v>
      </c>
      <c r="V100" s="149">
        <f t="shared" si="73"/>
        <v>-29.965987381667283</v>
      </c>
      <c r="W100" s="116">
        <f t="shared" si="63"/>
        <v>92.99999999999999</v>
      </c>
      <c r="X100" s="114">
        <f>IF(W100-90&lt;0,W100+270,W100-90)</f>
        <v>2.999999999999986</v>
      </c>
      <c r="Y100" s="117">
        <f t="shared" si="74"/>
        <v>60.03401261833272</v>
      </c>
      <c r="Z100" s="124">
        <f t="shared" si="75"/>
        <v>88.50051412994137</v>
      </c>
      <c r="AA100" s="119">
        <f>IF(Q100=90,IF(Z100-P100&lt;0,Z100-P100+180,Z100-P100),IF(Z100+P100&gt;180,Z100+P100-180,Z100+P100))</f>
        <v>88.50051412994137</v>
      </c>
      <c r="AB100" s="120">
        <f>COS(AA100*PI()/180)</f>
        <v>0.026167978121471615</v>
      </c>
      <c r="AC100" s="120">
        <f t="shared" si="76"/>
        <v>0.49931476737728725</v>
      </c>
      <c r="AD100" s="120">
        <f t="shared" si="77"/>
        <v>0.8660254037844386</v>
      </c>
      <c r="AE100" s="121">
        <f t="shared" si="78"/>
        <v>90.00000000000001</v>
      </c>
      <c r="AF100" s="119">
        <f t="shared" si="79"/>
        <v>59.99999999999999</v>
      </c>
      <c r="AG100" s="120">
        <f t="shared" si="80"/>
        <v>6.90301763633805E-06</v>
      </c>
      <c r="AH100" s="104"/>
      <c r="AI100" s="105"/>
      <c r="AJ100" s="125"/>
      <c r="AK100" s="179"/>
      <c r="AL100" s="116"/>
      <c r="AM100" s="114"/>
      <c r="AN100" s="117"/>
      <c r="AO100" s="121"/>
      <c r="AP100" s="124"/>
      <c r="AQ100" s="121"/>
      <c r="AR100" s="127"/>
    </row>
    <row r="101" spans="1:45" ht="15">
      <c r="A101" s="104" t="s">
        <v>139</v>
      </c>
      <c r="B101" s="105" t="s">
        <v>138</v>
      </c>
      <c r="C101" s="105" t="s">
        <v>140</v>
      </c>
      <c r="D101" s="106">
        <v>2</v>
      </c>
      <c r="E101" s="181" t="s">
        <v>47</v>
      </c>
      <c r="F101" s="105">
        <f t="shared" si="68"/>
        <v>572.865</v>
      </c>
      <c r="G101" s="105">
        <f t="shared" si="68"/>
        <v>572.9150000000001</v>
      </c>
      <c r="H101" s="182">
        <f>(F101+G101)/2</f>
        <v>572.8900000000001</v>
      </c>
      <c r="I101" s="110">
        <v>39</v>
      </c>
      <c r="J101" s="111">
        <v>44</v>
      </c>
      <c r="K101" s="105">
        <f>(+I101+J101)/2</f>
        <v>41.5</v>
      </c>
      <c r="L101" s="104">
        <v>90</v>
      </c>
      <c r="M101" s="105">
        <v>50</v>
      </c>
      <c r="N101" s="105">
        <v>34</v>
      </c>
      <c r="O101" s="105">
        <v>0</v>
      </c>
      <c r="P101" s="105">
        <v>20</v>
      </c>
      <c r="Q101" s="106">
        <v>270</v>
      </c>
      <c r="R101" s="113">
        <f t="shared" si="69"/>
        <v>-0.42836661633533274</v>
      </c>
      <c r="S101" s="113">
        <f t="shared" si="70"/>
        <v>0.6350796255926362</v>
      </c>
      <c r="T101" s="113">
        <f t="shared" si="71"/>
        <v>-0.5328950796029861</v>
      </c>
      <c r="U101" s="114">
        <f t="shared" si="72"/>
        <v>124</v>
      </c>
      <c r="V101" s="149">
        <f t="shared" si="73"/>
        <v>-34.82421685155452</v>
      </c>
      <c r="W101" s="116">
        <f t="shared" si="63"/>
        <v>124</v>
      </c>
      <c r="X101" s="114">
        <f>IF(W101-90&lt;0,W101+270,W101-90)</f>
        <v>34</v>
      </c>
      <c r="Y101" s="117">
        <f t="shared" si="74"/>
        <v>55.17578314844548</v>
      </c>
      <c r="Z101" s="124">
        <f t="shared" si="75"/>
        <v>68.93405214150685</v>
      </c>
      <c r="AA101" s="119">
        <f>IF(Q101=90,IF(Z101-P101&lt;0,Z101-P101+180,Z101-P101),IF(Z101+P101&gt;180,Z101+P101-180,Z101+P101))</f>
        <v>88.93405214150685</v>
      </c>
      <c r="AB101" s="120">
        <f>COS(AA101*PI()/180)</f>
        <v>0.018603226583912454</v>
      </c>
      <c r="AC101" s="120">
        <f t="shared" si="76"/>
        <v>0.570961761850646</v>
      </c>
      <c r="AD101" s="120">
        <f t="shared" si="77"/>
        <v>0.8207658536178719</v>
      </c>
      <c r="AE101" s="121">
        <f t="shared" si="78"/>
        <v>122.13383400289545</v>
      </c>
      <c r="AF101" s="119">
        <f t="shared" si="79"/>
        <v>55.16153227786757</v>
      </c>
      <c r="AG101" s="120">
        <f t="shared" si="80"/>
        <v>4.651011677528148E-06</v>
      </c>
      <c r="AH101" s="104">
        <v>21</v>
      </c>
      <c r="AI101" s="105">
        <v>44</v>
      </c>
      <c r="AJ101" s="125"/>
      <c r="AK101" s="179"/>
      <c r="AL101" s="116"/>
      <c r="AM101" s="114"/>
      <c r="AN101" s="117"/>
      <c r="AO101" s="121"/>
      <c r="AP101" s="124"/>
      <c r="AQ101" s="121"/>
      <c r="AR101" s="127"/>
      <c r="AS101" s="91" t="s">
        <v>151</v>
      </c>
    </row>
    <row r="102" spans="1:45" ht="15">
      <c r="A102" s="104" t="s">
        <v>139</v>
      </c>
      <c r="B102" s="105" t="s">
        <v>138</v>
      </c>
      <c r="C102" s="105" t="s">
        <v>140</v>
      </c>
      <c r="D102" s="106">
        <v>3</v>
      </c>
      <c r="E102" s="181" t="s">
        <v>174</v>
      </c>
      <c r="F102" s="105">
        <f aca="true" t="shared" si="81" ref="F102:G107">572.915+(I102/100)</f>
        <v>573.015</v>
      </c>
      <c r="G102" s="105">
        <f t="shared" si="81"/>
        <v>573.025</v>
      </c>
      <c r="H102" s="182">
        <f>(F102+G102)/2</f>
        <v>573.02</v>
      </c>
      <c r="I102" s="110">
        <v>10</v>
      </c>
      <c r="J102" s="111">
        <v>11</v>
      </c>
      <c r="K102" s="105">
        <f>(+I102+J102)/2</f>
        <v>10.5</v>
      </c>
      <c r="L102" s="104">
        <v>270</v>
      </c>
      <c r="M102" s="105">
        <v>19</v>
      </c>
      <c r="N102" s="105">
        <v>0</v>
      </c>
      <c r="O102" s="105">
        <v>19</v>
      </c>
      <c r="P102" s="105"/>
      <c r="Q102" s="106"/>
      <c r="R102" s="113">
        <f t="shared" si="69"/>
        <v>-0.30783073766282915</v>
      </c>
      <c r="S102" s="113">
        <f t="shared" si="70"/>
        <v>0.3078307376628292</v>
      </c>
      <c r="T102" s="113">
        <f t="shared" si="71"/>
        <v>0.894005376803361</v>
      </c>
      <c r="U102" s="114">
        <f t="shared" si="72"/>
        <v>135</v>
      </c>
      <c r="V102" s="149">
        <f t="shared" si="73"/>
        <v>64.03610472697837</v>
      </c>
      <c r="W102" s="116">
        <f t="shared" si="63"/>
        <v>315</v>
      </c>
      <c r="X102" s="114">
        <f>IF(W102-90&lt;0,W102+270,W102-90)</f>
        <v>225</v>
      </c>
      <c r="Y102" s="117">
        <f t="shared" si="74"/>
        <v>25.963895273021635</v>
      </c>
      <c r="Z102" s="124">
        <f t="shared" si="75"/>
        <v>48.04223703674404</v>
      </c>
      <c r="AA102" s="119">
        <f>IF(Q102=90,IF(Z102-P102&lt;0,Z102-P102+180,Z102-P102),IF(Z102+P102&gt;180,Z102+P102-180,Z102+P102))</f>
        <v>48.04223703674404</v>
      </c>
      <c r="AB102" s="120">
        <f>COS(AA102*PI()/180)</f>
        <v>0.6685825965441223</v>
      </c>
      <c r="AC102" s="120">
        <f t="shared" si="76"/>
        <v>0.6685825965441222</v>
      </c>
      <c r="AD102" s="120">
        <f t="shared" si="77"/>
        <v>0.3255681544571564</v>
      </c>
      <c r="AE102" s="121">
        <f t="shared" si="78"/>
        <v>270</v>
      </c>
      <c r="AF102" s="119">
        <f t="shared" si="79"/>
        <v>18.99999999999999</v>
      </c>
      <c r="AG102" s="120">
        <f t="shared" si="80"/>
        <v>6.630396915208933E-05</v>
      </c>
      <c r="AH102" s="104">
        <v>0</v>
      </c>
      <c r="AI102" s="105">
        <v>22</v>
      </c>
      <c r="AJ102" s="125"/>
      <c r="AK102" s="179"/>
      <c r="AL102" s="116"/>
      <c r="AM102" s="114"/>
      <c r="AN102" s="117"/>
      <c r="AO102" s="121"/>
      <c r="AP102" s="124"/>
      <c r="AQ102" s="121"/>
      <c r="AR102" s="127"/>
      <c r="AS102" s="91" t="s">
        <v>136</v>
      </c>
    </row>
    <row r="103" spans="1:45" ht="15">
      <c r="A103" s="104" t="s">
        <v>139</v>
      </c>
      <c r="B103" s="105" t="s">
        <v>138</v>
      </c>
      <c r="C103" s="105" t="s">
        <v>140</v>
      </c>
      <c r="D103" s="106">
        <v>3</v>
      </c>
      <c r="E103" s="181" t="s">
        <v>172</v>
      </c>
      <c r="F103" s="105">
        <f t="shared" si="81"/>
        <v>573.3149999999999</v>
      </c>
      <c r="G103" s="105">
        <f t="shared" si="81"/>
        <v>573.405</v>
      </c>
      <c r="H103" s="182">
        <f>(F103+G103)/2</f>
        <v>573.3599999999999</v>
      </c>
      <c r="I103" s="110">
        <v>40</v>
      </c>
      <c r="J103" s="111">
        <v>49</v>
      </c>
      <c r="K103" s="105">
        <f>(+I103+J103)/2</f>
        <v>44.5</v>
      </c>
      <c r="L103" s="104">
        <v>90</v>
      </c>
      <c r="M103" s="105">
        <v>68</v>
      </c>
      <c r="N103" s="105">
        <v>34</v>
      </c>
      <c r="O103" s="105">
        <v>0</v>
      </c>
      <c r="P103" s="105"/>
      <c r="Q103" s="106"/>
      <c r="R103" s="113">
        <f t="shared" si="69"/>
        <v>-0.5184746316864006</v>
      </c>
      <c r="S103" s="113">
        <f t="shared" si="70"/>
        <v>0.7686702521022762</v>
      </c>
      <c r="T103" s="113">
        <f t="shared" si="71"/>
        <v>-0.3105629408686411</v>
      </c>
      <c r="U103" s="114">
        <f t="shared" si="72"/>
        <v>124</v>
      </c>
      <c r="V103" s="149">
        <f t="shared" si="73"/>
        <v>-18.51842421572376</v>
      </c>
      <c r="W103" s="116">
        <f t="shared" si="63"/>
        <v>124</v>
      </c>
      <c r="X103" s="114">
        <f>IF(W103-90&lt;0,W103+270,W103-90)</f>
        <v>34</v>
      </c>
      <c r="Y103" s="117">
        <f t="shared" si="74"/>
        <v>71.48157578427625</v>
      </c>
      <c r="Z103" s="124">
        <f t="shared" si="75"/>
        <v>77.90827469349279</v>
      </c>
      <c r="AA103" s="119">
        <f>IF(Q103=90,IF(Z103-P103&lt;0,Z103-P103+180,Z103-P103),IF(Z103+P103&gt;180,Z103+P103-180,Z103+P103))</f>
        <v>77.90827469349279</v>
      </c>
      <c r="AB103" s="120">
        <f>COS(AA103*PI()/180)</f>
        <v>0.20947734863152961</v>
      </c>
      <c r="AC103" s="120">
        <f t="shared" si="76"/>
        <v>0.310562940868641</v>
      </c>
      <c r="AD103" s="120">
        <f t="shared" si="77"/>
        <v>0.9271838545667874</v>
      </c>
      <c r="AE103" s="121">
        <f t="shared" si="78"/>
        <v>89.99999999999996</v>
      </c>
      <c r="AF103" s="119">
        <f t="shared" si="79"/>
        <v>68</v>
      </c>
      <c r="AG103" s="120">
        <f t="shared" si="80"/>
        <v>5.916130449285524E-05</v>
      </c>
      <c r="AH103" s="104">
        <v>34</v>
      </c>
      <c r="AI103" s="105">
        <v>68</v>
      </c>
      <c r="AJ103" s="255">
        <v>250</v>
      </c>
      <c r="AK103" s="256">
        <v>31.6</v>
      </c>
      <c r="AL103" s="250">
        <f>IF(AK103&gt;=0,IF(W103&gt;=AJ103,W103-AJ103,W103-AJ103+360),IF((W103-AJ103-180)&lt;0,IF(W103-AJ103+180&lt;0,W103-AJ103+540,W103-AJ103+180),W103-AJ103-180))</f>
        <v>234</v>
      </c>
      <c r="AM103" s="251">
        <f>IF(AL103-90&lt;0,AL103+270,AL103-90)</f>
        <v>144</v>
      </c>
      <c r="AN103" s="252">
        <f>Y103</f>
        <v>71.48157578427625</v>
      </c>
      <c r="AO103" s="121"/>
      <c r="AP103" s="124"/>
      <c r="AQ103" s="121"/>
      <c r="AR103" s="127"/>
      <c r="AS103" s="91" t="s">
        <v>171</v>
      </c>
    </row>
    <row r="104" spans="1:45" ht="15">
      <c r="A104" s="104" t="s">
        <v>139</v>
      </c>
      <c r="B104" s="105" t="s">
        <v>138</v>
      </c>
      <c r="C104" s="105" t="s">
        <v>140</v>
      </c>
      <c r="D104" s="106">
        <v>3</v>
      </c>
      <c r="E104" s="181" t="s">
        <v>174</v>
      </c>
      <c r="F104" s="105">
        <f t="shared" si="81"/>
        <v>573.375</v>
      </c>
      <c r="G104" s="105">
        <f t="shared" si="81"/>
        <v>573.375</v>
      </c>
      <c r="H104" s="182">
        <f>(F104+G104)/2</f>
        <v>573.375</v>
      </c>
      <c r="I104" s="110">
        <v>46</v>
      </c>
      <c r="J104" s="111">
        <v>46</v>
      </c>
      <c r="K104" s="105">
        <f>(+I104+J104)/2</f>
        <v>46</v>
      </c>
      <c r="L104" s="104">
        <v>90</v>
      </c>
      <c r="M104" s="105">
        <v>8</v>
      </c>
      <c r="N104" s="105">
        <v>180</v>
      </c>
      <c r="O104" s="105">
        <v>9</v>
      </c>
      <c r="P104" s="105"/>
      <c r="Q104" s="106"/>
      <c r="R104" s="113">
        <f t="shared" si="69"/>
        <v>0.1549120555800101</v>
      </c>
      <c r="S104" s="113">
        <f t="shared" si="70"/>
        <v>-0.1374596491427266</v>
      </c>
      <c r="T104" s="113">
        <f t="shared" si="71"/>
        <v>0.9780762255597134</v>
      </c>
      <c r="U104" s="114">
        <f t="shared" si="72"/>
        <v>318.41607643764075</v>
      </c>
      <c r="V104" s="149">
        <f t="shared" si="73"/>
        <v>78.0443135128941</v>
      </c>
      <c r="W104" s="116">
        <f t="shared" si="63"/>
        <v>138.41607643764075</v>
      </c>
      <c r="X104" s="114">
        <f>IF(W104-90&lt;0,W104+270,W104-90)</f>
        <v>48.416076437640754</v>
      </c>
      <c r="Y104" s="117">
        <f t="shared" si="74"/>
        <v>11.955686487105893</v>
      </c>
      <c r="Z104" s="124">
        <f t="shared" si="75"/>
        <v>42.20849306526841</v>
      </c>
      <c r="AA104" s="119">
        <f>IF(Q104=90,IF(Z104-P104&lt;0,Z104-P104+180,Z104-P104),IF(Z104+P104&gt;180,Z104+P104-180,Z104+P104))</f>
        <v>42.20849306526841</v>
      </c>
      <c r="AB104" s="120">
        <f>COS(AA104*PI()/180)</f>
        <v>0.7407050176938682</v>
      </c>
      <c r="AC104" s="120">
        <f t="shared" si="76"/>
        <v>0.6572571222377783</v>
      </c>
      <c r="AD104" s="120">
        <f t="shared" si="77"/>
        <v>0.13917310096006508</v>
      </c>
      <c r="AE104" s="121">
        <f t="shared" si="78"/>
        <v>90</v>
      </c>
      <c r="AF104" s="119">
        <f t="shared" si="79"/>
        <v>7.99999999999998</v>
      </c>
      <c r="AG104" s="120">
        <f t="shared" si="80"/>
        <v>3.140095103632687E-05</v>
      </c>
      <c r="AH104" s="104">
        <v>34</v>
      </c>
      <c r="AI104" s="105">
        <v>68</v>
      </c>
      <c r="AJ104" s="255">
        <v>250</v>
      </c>
      <c r="AK104" s="256">
        <v>31.6</v>
      </c>
      <c r="AL104" s="250">
        <f>IF(AK104&gt;=0,IF(W104&gt;=AJ104,W104-AJ104,W104-AJ104+360),IF((W104-AJ104-180)&lt;0,IF(W104-AJ104+180&lt;0,W104-AJ104+540,W104-AJ104+180),W104-AJ104-180))</f>
        <v>248.41607643764075</v>
      </c>
      <c r="AM104" s="251">
        <f>IF(AL104-90&lt;0,AL104+270,AL104-90)</f>
        <v>158.41607643764075</v>
      </c>
      <c r="AN104" s="252">
        <f>Y104</f>
        <v>11.955686487105893</v>
      </c>
      <c r="AO104" s="121"/>
      <c r="AP104" s="124"/>
      <c r="AQ104" s="121"/>
      <c r="AR104" s="127"/>
      <c r="AS104" s="91" t="s">
        <v>136</v>
      </c>
    </row>
    <row r="105" spans="1:44" ht="15">
      <c r="A105" s="104" t="s">
        <v>139</v>
      </c>
      <c r="B105" s="105" t="s">
        <v>138</v>
      </c>
      <c r="C105" s="105" t="s">
        <v>140</v>
      </c>
      <c r="D105" s="106">
        <v>3</v>
      </c>
      <c r="E105" s="181" t="s">
        <v>162</v>
      </c>
      <c r="F105" s="105">
        <f t="shared" si="81"/>
        <v>573.355</v>
      </c>
      <c r="G105" s="105">
        <f t="shared" si="81"/>
        <v>573.435</v>
      </c>
      <c r="H105" s="182">
        <f>(F105+G105)/2</f>
        <v>573.395</v>
      </c>
      <c r="I105" s="110">
        <v>44</v>
      </c>
      <c r="J105" s="111">
        <v>52</v>
      </c>
      <c r="K105" s="105">
        <f>(+I105+J105)/2</f>
        <v>48</v>
      </c>
      <c r="L105" s="104">
        <v>90</v>
      </c>
      <c r="M105" s="105">
        <v>46</v>
      </c>
      <c r="N105" s="105">
        <v>180</v>
      </c>
      <c r="O105" s="105">
        <v>3</v>
      </c>
      <c r="P105" s="105"/>
      <c r="Q105" s="106"/>
      <c r="R105" s="113">
        <f t="shared" si="69"/>
        <v>0.03635561008013666</v>
      </c>
      <c r="S105" s="113">
        <f t="shared" si="70"/>
        <v>-0.7183539701426351</v>
      </c>
      <c r="T105" s="113">
        <f t="shared" si="71"/>
        <v>0.693706365304839</v>
      </c>
      <c r="U105" s="114">
        <f t="shared" si="72"/>
        <v>272.8972448068343</v>
      </c>
      <c r="V105" s="149">
        <f t="shared" si="73"/>
        <v>43.96338167486341</v>
      </c>
      <c r="W105" s="116">
        <f t="shared" si="63"/>
        <v>92.8972448068343</v>
      </c>
      <c r="X105" s="114">
        <f>IF(W105-90&lt;0,W105+270,W105-90)</f>
        <v>2.897244806834294</v>
      </c>
      <c r="Y105" s="117">
        <f t="shared" si="74"/>
        <v>46.03661832513659</v>
      </c>
      <c r="Z105" s="124">
        <f t="shared" si="75"/>
        <v>87.98784864484423</v>
      </c>
      <c r="AA105" s="119">
        <f>IF(Q105=90,IF(Z105-P105&lt;0,Z105-P105+180,Z105-P105),IF(Z105+P105&gt;180,Z105+P105-180,Z105+P105))</f>
        <v>87.98784864484423</v>
      </c>
      <c r="AB105" s="120">
        <f>COS(AA105*PI()/180)</f>
        <v>0.03511144787798722</v>
      </c>
      <c r="AC105" s="120">
        <f t="shared" si="76"/>
        <v>0.6937704504204983</v>
      </c>
      <c r="AD105" s="120">
        <f t="shared" si="77"/>
        <v>0.7193398003386509</v>
      </c>
      <c r="AE105" s="121">
        <f t="shared" si="78"/>
        <v>89.99999999999999</v>
      </c>
      <c r="AF105" s="119">
        <f t="shared" si="79"/>
        <v>45.99999999999998</v>
      </c>
      <c r="AG105" s="120">
        <f t="shared" si="80"/>
        <v>7.693538429332343E-06</v>
      </c>
      <c r="AH105" s="104">
        <v>34</v>
      </c>
      <c r="AI105" s="105">
        <v>68</v>
      </c>
      <c r="AJ105" s="255">
        <v>250</v>
      </c>
      <c r="AK105" s="256">
        <v>31.6</v>
      </c>
      <c r="AL105" s="250">
        <f>IF(AK105&gt;=0,IF(W105&gt;=AJ105,W105-AJ105,W105-AJ105+360),IF((W105-AJ105-180)&lt;0,IF(W105-AJ105+180&lt;0,W105-AJ105+540,W105-AJ105+180),W105-AJ105-180))</f>
        <v>202.8972448068343</v>
      </c>
      <c r="AM105" s="251">
        <f>IF(AL105-90&lt;0,AL105+270,AL105-90)</f>
        <v>112.8972448068343</v>
      </c>
      <c r="AN105" s="252">
        <f>Y105</f>
        <v>46.03661832513659</v>
      </c>
      <c r="AO105" s="121"/>
      <c r="AP105" s="124"/>
      <c r="AQ105" s="121"/>
      <c r="AR105" s="127"/>
    </row>
    <row r="106" spans="1:45" ht="15">
      <c r="A106" s="104" t="s">
        <v>139</v>
      </c>
      <c r="B106" s="105" t="s">
        <v>138</v>
      </c>
      <c r="C106" s="105" t="s">
        <v>140</v>
      </c>
      <c r="D106" s="106">
        <v>3</v>
      </c>
      <c r="E106" s="181" t="s">
        <v>174</v>
      </c>
      <c r="F106" s="105">
        <f t="shared" si="81"/>
        <v>573.515</v>
      </c>
      <c r="G106" s="105">
        <f t="shared" si="81"/>
        <v>573.515</v>
      </c>
      <c r="H106" s="182">
        <f>(F106+G106)/2</f>
        <v>573.515</v>
      </c>
      <c r="I106" s="110">
        <v>60</v>
      </c>
      <c r="J106" s="111">
        <v>60</v>
      </c>
      <c r="K106" s="105">
        <f>(+I106+J106)/2</f>
        <v>60</v>
      </c>
      <c r="L106" s="104">
        <v>90</v>
      </c>
      <c r="M106" s="105">
        <v>6</v>
      </c>
      <c r="N106" s="105">
        <v>180</v>
      </c>
      <c r="O106" s="105">
        <v>3</v>
      </c>
      <c r="P106" s="105"/>
      <c r="Q106" s="106"/>
      <c r="R106" s="113">
        <f t="shared" si="69"/>
        <v>0.052049254398643496</v>
      </c>
      <c r="S106" s="113">
        <f t="shared" si="70"/>
        <v>-0.10438521064158733</v>
      </c>
      <c r="T106" s="113">
        <f t="shared" si="71"/>
        <v>0.9931589376748557</v>
      </c>
      <c r="U106" s="114">
        <f t="shared" si="72"/>
        <v>296.5020697359814</v>
      </c>
      <c r="V106" s="149">
        <f t="shared" si="73"/>
        <v>83.30154702070026</v>
      </c>
      <c r="W106" s="116">
        <f t="shared" si="63"/>
        <v>116.50206973598142</v>
      </c>
      <c r="X106" s="114">
        <f>IF(W106-90&lt;0,W106+270,W106-90)</f>
        <v>26.502069735981422</v>
      </c>
      <c r="Y106" s="117">
        <f t="shared" si="74"/>
        <v>6.698452979299745</v>
      </c>
      <c r="Z106" s="124">
        <f t="shared" si="75"/>
        <v>63.654329122575966</v>
      </c>
      <c r="AA106" s="119">
        <f>IF(Q106=90,IF(Z106-P106&lt;0,Z106-P106+180,Z106-P106),IF(Z106+P106&gt;180,Z106+P106-180,Z106+P106))</f>
        <v>63.654329122575966</v>
      </c>
      <c r="AB106" s="120">
        <f>COS(AA106*PI()/180)</f>
        <v>0.44378564576266927</v>
      </c>
      <c r="AC106" s="120">
        <f t="shared" si="76"/>
        <v>0.8900157869284755</v>
      </c>
      <c r="AD106" s="120">
        <f t="shared" si="77"/>
        <v>0.10452846326765354</v>
      </c>
      <c r="AE106" s="121">
        <f t="shared" si="78"/>
        <v>90</v>
      </c>
      <c r="AF106" s="119">
        <f t="shared" si="79"/>
        <v>6.0000000000000036</v>
      </c>
      <c r="AG106" s="120">
        <f t="shared" si="80"/>
        <v>1.4130514281476214E-05</v>
      </c>
      <c r="AH106" s="104">
        <v>34</v>
      </c>
      <c r="AI106" s="105">
        <v>68</v>
      </c>
      <c r="AJ106" s="255">
        <v>250</v>
      </c>
      <c r="AK106" s="256">
        <v>31.6</v>
      </c>
      <c r="AL106" s="250">
        <f>IF(AK106&gt;=0,IF(W106&gt;=AJ106,W106-AJ106,W106-AJ106+360),IF((W106-AJ106-180)&lt;0,IF(W106-AJ106+180&lt;0,W106-AJ106+540,W106-AJ106+180),W106-AJ106-180))</f>
        <v>226.50206973598142</v>
      </c>
      <c r="AM106" s="251">
        <f>IF(AL106-90&lt;0,AL106+270,AL106-90)</f>
        <v>136.50206973598142</v>
      </c>
      <c r="AN106" s="252">
        <f>Y106</f>
        <v>6.698452979299745</v>
      </c>
      <c r="AO106" s="121"/>
      <c r="AP106" s="124"/>
      <c r="AQ106" s="121"/>
      <c r="AR106" s="127"/>
      <c r="AS106" s="91" t="s">
        <v>136</v>
      </c>
    </row>
    <row r="107" spans="1:45" ht="15.75" thickBot="1">
      <c r="A107" s="128" t="s">
        <v>139</v>
      </c>
      <c r="B107" s="129" t="s">
        <v>138</v>
      </c>
      <c r="C107" s="129" t="s">
        <v>140</v>
      </c>
      <c r="D107" s="130">
        <v>3</v>
      </c>
      <c r="E107" s="183" t="s">
        <v>145</v>
      </c>
      <c r="F107" s="129">
        <f t="shared" si="81"/>
        <v>573.485</v>
      </c>
      <c r="G107" s="129">
        <f t="shared" si="81"/>
        <v>573.5849999999999</v>
      </c>
      <c r="H107" s="184">
        <f>(F107+G107)/2</f>
        <v>573.535</v>
      </c>
      <c r="I107" s="134">
        <v>57</v>
      </c>
      <c r="J107" s="135">
        <v>67</v>
      </c>
      <c r="K107" s="129">
        <f>(+I107+J107)/2</f>
        <v>62</v>
      </c>
      <c r="L107" s="128">
        <v>270</v>
      </c>
      <c r="M107" s="129">
        <v>87</v>
      </c>
      <c r="N107" s="129">
        <v>165</v>
      </c>
      <c r="O107" s="129">
        <v>0</v>
      </c>
      <c r="P107" s="129"/>
      <c r="Q107" s="130"/>
      <c r="R107" s="137">
        <f t="shared" si="69"/>
        <v>-0.25846434259635365</v>
      </c>
      <c r="S107" s="137">
        <f t="shared" si="70"/>
        <v>-0.9646020585144794</v>
      </c>
      <c r="T107" s="137">
        <f t="shared" si="71"/>
        <v>-0.050552651778594165</v>
      </c>
      <c r="U107" s="138">
        <f t="shared" si="72"/>
        <v>255</v>
      </c>
      <c r="V107" s="172">
        <f t="shared" si="73"/>
        <v>-2.8979547929273295</v>
      </c>
      <c r="W107" s="140">
        <f t="shared" si="63"/>
        <v>255</v>
      </c>
      <c r="X107" s="138">
        <f>IF(W107-90&lt;0,W107+270,W107-90)</f>
        <v>165</v>
      </c>
      <c r="Y107" s="141">
        <f t="shared" si="74"/>
        <v>87.10204520707268</v>
      </c>
      <c r="Z107" s="147">
        <f t="shared" si="75"/>
        <v>90.77612613577658</v>
      </c>
      <c r="AA107" s="143">
        <f>IF(Q107=90,IF(Z107-P107&lt;0,Z107-P107+180,Z107-P107),IF(Z107+P107&gt;180,Z107+P107-180,Z107+P107))</f>
        <v>90.77612613577658</v>
      </c>
      <c r="AB107" s="144">
        <f>COS(AA107*PI()/180)</f>
        <v>-0.013545542219325964</v>
      </c>
      <c r="AC107" s="144">
        <f t="shared" si="76"/>
        <v>0.05055265177859427</v>
      </c>
      <c r="AD107" s="144">
        <f t="shared" si="77"/>
        <v>0.9986295347545739</v>
      </c>
      <c r="AE107" s="145">
        <f t="shared" si="78"/>
        <v>269.9999999999999</v>
      </c>
      <c r="AF107" s="143">
        <f t="shared" si="79"/>
        <v>87.00000000000009</v>
      </c>
      <c r="AG107" s="144">
        <f t="shared" si="80"/>
        <v>-4.120344634712542E-06</v>
      </c>
      <c r="AH107" s="128">
        <v>34</v>
      </c>
      <c r="AI107" s="129">
        <v>68</v>
      </c>
      <c r="AJ107" s="257">
        <v>250</v>
      </c>
      <c r="AK107" s="258">
        <v>31.6</v>
      </c>
      <c r="AL107" s="259">
        <f>IF(AK107&gt;=0,IF(W107&gt;=AJ107,W107-AJ107,W107-AJ107+360),IF((W107-AJ107-180)&lt;0,IF(W107-AJ107+180&lt;0,W107-AJ107+540,W107-AJ107+180),W107-AJ107-180))</f>
        <v>5</v>
      </c>
      <c r="AM107" s="260">
        <f>IF(AL107-90&lt;0,AL107+270,AL107-90)</f>
        <v>275</v>
      </c>
      <c r="AN107" s="261">
        <f>Y107</f>
        <v>87.10204520707268</v>
      </c>
      <c r="AO107" s="145"/>
      <c r="AP107" s="147"/>
      <c r="AQ107" s="145"/>
      <c r="AR107" s="148"/>
      <c r="AS107" s="91" t="s">
        <v>144</v>
      </c>
    </row>
    <row r="109" ht="15">
      <c r="AJ109" s="266" t="s">
        <v>175</v>
      </c>
    </row>
  </sheetData>
  <sheetProtection/>
  <mergeCells count="17">
    <mergeCell ref="W1:Y1"/>
    <mergeCell ref="B1:B2"/>
    <mergeCell ref="C1:C2"/>
    <mergeCell ref="D1:D2"/>
    <mergeCell ref="E1:E2"/>
    <mergeCell ref="I1:I2"/>
    <mergeCell ref="J1:J2"/>
    <mergeCell ref="Z1:AG1"/>
    <mergeCell ref="AH1:AI1"/>
    <mergeCell ref="AJ1:AK1"/>
    <mergeCell ref="AL1:AN1"/>
    <mergeCell ref="AO1:AR1"/>
    <mergeCell ref="K1:K2"/>
    <mergeCell ref="L1:M1"/>
    <mergeCell ref="N1:O1"/>
    <mergeCell ref="P1:Q1"/>
    <mergeCell ref="R1:V1"/>
  </mergeCells>
  <dataValidations count="1">
    <dataValidation type="list" allowBlank="1" showInputMessage="1" showErrorMessage="1" sqref="AR3:AR47">
      <formula1>"N,R,SS"</formula1>
    </dataValidation>
  </dataValidations>
  <printOptions/>
  <pageMargins left="0.787401575" right="0.787401575" top="0.984251969" bottom="0.984251969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JAMSTEC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山本由弦 やまもとゆづる</dc:creator>
  <cp:keywords/>
  <dc:description/>
  <cp:lastModifiedBy>山口飛鳥</cp:lastModifiedBy>
  <dcterms:created xsi:type="dcterms:W3CDTF">2013-12-10T13:09:53Z</dcterms:created>
  <dcterms:modified xsi:type="dcterms:W3CDTF">2020-02-21T15:02:30Z</dcterms:modified>
  <cp:category/>
  <cp:version/>
  <cp:contentType/>
  <cp:contentStatus/>
</cp:coreProperties>
</file>